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ZMpa2d+RfTGfTpSow0O4f9vGGqKlolbU2NK9D8x8/QdzMY84VmfkrHAcIUkg4YVQoBJl6u5y2uhIh9MK6ZQmMQ==" workbookSaltValue="E8LASWcuIQUijJXvd4g0n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D16" i="2"/>
  <c r="ES19" i="8"/>
  <c r="AC19" i="8"/>
  <c r="BH19" i="13"/>
  <c r="R19" i="8"/>
  <c r="EP19" i="8"/>
  <c r="EP19" i="19"/>
  <c r="AT17" i="20"/>
  <c r="M13" i="2"/>
  <c r="AL12" i="11"/>
  <c r="T13" i="12"/>
  <c r="BM15" i="11"/>
  <c r="T15" i="16"/>
  <c r="BV17" i="16"/>
  <c r="BV12" i="16"/>
  <c r="BV11" i="16"/>
  <c r="U10" i="17"/>
  <c r="V12" i="16"/>
  <c r="T13" i="16"/>
  <c r="BG12" i="11"/>
  <c r="BH10" i="11"/>
  <c r="AQ10" i="21"/>
  <c r="BK16" i="11"/>
  <c r="BG16" i="11"/>
  <c r="AQ12" i="21"/>
  <c r="BL16" i="11"/>
  <c r="T13" i="20"/>
  <c r="AY18" i="8"/>
  <c r="J18" i="17"/>
  <c r="L16" i="2"/>
  <c r="BG15" i="13"/>
  <c r="BE15" i="13"/>
  <c r="AH20" i="20"/>
  <c r="AL20" i="20"/>
  <c r="AB20" i="20"/>
  <c r="AO20" i="20"/>
  <c r="AN20" i="20"/>
  <c r="Y20" i="20"/>
  <c r="U10" i="11"/>
  <c r="T19" i="8" l="1"/>
  <c r="BD16" i="8"/>
  <c r="BD12" i="8"/>
  <c r="AC10" i="11"/>
  <c r="D10" i="6"/>
  <c r="H13" i="12"/>
  <c r="B10" i="6"/>
  <c r="K15" i="7"/>
  <c r="N13" i="2"/>
  <c r="K18" i="2"/>
  <c r="AL9" i="11"/>
  <c r="F9" i="2"/>
  <c r="H12" i="7"/>
  <c r="C10" i="6"/>
  <c r="AO17" i="11"/>
  <c r="L16" i="14"/>
  <c r="L17" i="14"/>
  <c r="X12" i="21"/>
  <c r="T17" i="11"/>
  <c r="BH9" i="16"/>
  <c r="BJ17" i="11"/>
  <c r="BH15" i="11"/>
  <c r="BH15" i="16"/>
  <c r="Q17" i="20"/>
  <c r="Q18" i="20" s="1"/>
  <c r="V11" i="16"/>
  <c r="BF17" i="11"/>
  <c r="BF16" i="11"/>
  <c r="S17" i="16"/>
  <c r="BL12" i="11"/>
  <c r="BK11" i="11"/>
  <c r="AP10" i="21"/>
  <c r="BM12" i="11"/>
  <c r="BH9" i="11"/>
  <c r="BI15" i="11"/>
  <c r="BJ15" i="11"/>
  <c r="BJ18" i="11" s="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AP16" i="20"/>
  <c r="V15" i="11"/>
  <c r="BH17" i="16"/>
  <c r="BG10" i="11"/>
  <c r="BM16" i="11"/>
  <c r="P17" i="17"/>
  <c r="BL17" i="11"/>
  <c r="BK12" i="11"/>
  <c r="BF10" i="11"/>
  <c r="BK9" i="11"/>
  <c r="BK15" i="11"/>
  <c r="V11" i="11"/>
  <c r="BI10" i="11"/>
  <c r="Q10" i="21"/>
  <c r="V9" i="11"/>
  <c r="BJ11" i="11"/>
  <c r="R10" i="21"/>
  <c r="R13" i="21" s="1"/>
  <c r="BI17" i="11"/>
  <c r="BG9" i="11"/>
  <c r="BL11" i="11"/>
  <c r="BH17" i="11"/>
  <c r="V17" i="16"/>
  <c r="U9" i="17"/>
  <c r="U19" i="17" s="1"/>
  <c r="BJ16" i="11"/>
  <c r="BH16" i="11"/>
  <c r="BH11" i="11"/>
  <c r="BJ10" i="11"/>
  <c r="BI9" i="11"/>
  <c r="Q17" i="17"/>
  <c r="AZ12" i="11"/>
  <c r="BU12" i="17"/>
  <c r="BW10" i="20"/>
  <c r="BW11" i="20"/>
  <c r="BW12" i="20"/>
  <c r="BU10" i="17"/>
  <c r="BU11" i="17"/>
  <c r="T17" i="16"/>
  <c r="C17" i="6"/>
  <c r="BF15" i="13"/>
  <c r="BD11" i="13"/>
  <c r="BB13" i="13"/>
  <c r="BG16" i="13"/>
  <c r="BE16" i="13"/>
  <c r="F15" i="17"/>
  <c r="AQ15" i="17" s="1"/>
  <c r="BF9" i="8"/>
  <c r="J9" i="7" s="1"/>
  <c r="E12" i="6"/>
  <c r="AO12" i="11"/>
  <c r="H12" i="2"/>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J13" i="2"/>
  <c r="AZ13" i="11"/>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<sst xmlns="http://schemas.openxmlformats.org/spreadsheetml/2006/main" count="2102" uniqueCount="916">
  <si>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</si>
  <si>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</si>
  <si>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</si>
  <si>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</si>
  <si>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</si>
  <si>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</si>
  <si>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</si>
  <si>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</si>
  <si>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</si>
  <si>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</si>
  <si>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</si>
  <si>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</si>
  <si>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</si>
  <si>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</si>
  <si>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</si>
  <si>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</si>
  <si>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</si>
  <si>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</si>
  <si>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</si>
  <si>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</si>
  <si>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</si>
  <si>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</si>
  <si>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</si>
  <si>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</si>
  <si>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</si>
  <si>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</si>
  <si>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</si>
  <si>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</si>
  <si>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</si>
  <si>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</si>
  <si>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</si>
  <si>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</si>
  <si>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</si>
  <si>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</si>
  <si>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</si>
  <si>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</si>
  <si>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</si>
  <si>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</si>
  <si>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</si>
  <si>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</si>
  <si>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</si>
  <si>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</si>
  <si>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</si>
  <si>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</si>
  <si>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</si>
  <si>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</si>
  <si>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</si>
  <si>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</si>
  <si>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</si>
  <si>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</si>
  <si>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</si>
  <si>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</si>
  <si>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</si>
  <si>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</si>
  <si>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</si>
  <si>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</si>
  <si>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</si>
  <si>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</si>
  <si>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</si>
  <si>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</si>
  <si>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</si>
  <si>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</si>
  <si>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</si>
  <si>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</si>
  <si>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</si>
  <si>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</si>
  <si>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</si>
  <si>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</si>
  <si>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</si>
  <si>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</si>
  <si>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</si>
  <si>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</si>
  <si>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</si>
  <si>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</si>
  <si>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</si>
  <si>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</si>
  <si>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</si>
  <si>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</si>
  <si>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</si>
  <si>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</si>
  <si>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</si>
  <si>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</si>
  <si>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</si>
  <si>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</si>
  <si>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</si>
  <si>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</si>
  <si>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</si>
  <si>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</si>
  <si>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</si>
  <si>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</si>
  <si>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</si>
  <si>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</si>
  <si>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</si>
  <si>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</si>
  <si>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</si>
  <si>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</si>
  <si>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</si>
  <si>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</si>
  <si>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</si>
  <si>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</si>
  <si>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</si>
  <si>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</si>
  <si>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</si>
  <si>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</si>
  <si>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</si>
  <si>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</si>
  <si>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</si>
  <si>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</si>
  <si>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</si>
  <si>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</si>
  <si>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</si>
  <si>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</si>
  <si>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</si>
  <si>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</si>
  <si>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</si>
  <si>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</si>
  <si>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</si>
  <si>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</si>
  <si>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</si>
  <si>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</si>
  <si>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</si>
  <si>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</si>
  <si>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</si>
  <si>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</si>
  <si>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</si>
  <si>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</si>
  <si>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</si>
  <si>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</si>
  <si>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</si>
  <si>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</si>
  <si>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</si>
  <si>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</si>
  <si>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</si>
  <si>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</si>
  <si>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</si>
  <si>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</si>
  <si>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</si>
  <si>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</si>
  <si>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</si>
  <si>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</si>
  <si>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</si>
  <si>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</si>
  <si>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</si>
  <si>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</si>
  <si>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</si>
  <si>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</si>
  <si>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</si>
  <si>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</si>
  <si>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</si>
  <si>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</si>
  <si>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</si>
  <si>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</si>
  <si>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</si>
  <si>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</si>
  <si>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</si>
  <si>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</si>
  <si>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</si>
  <si>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</si>
  <si>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</si>
  <si>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</si>
  <si>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</si>
  <si>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</si>
  <si>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</si>
  <si>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</si>
  <si>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</si>
  <si>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</si>
  <si>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</si>
  <si>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</si>
  <si>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</si>
  <si>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</si>
  <si>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</si>
  <si>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</si>
  <si>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</si>
  <si>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</si>
  <si>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</si>
  <si>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</si>
  <si>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</si>
  <si>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</si>
  <si>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</si>
  <si>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</si>
  <si>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</si>
  <si>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</si>
  <si>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</si>
  <si>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</si>
  <si>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</si>
  <si>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</si>
  <si>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</si>
  <si>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</si>
  <si>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</si>
  <si>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</si>
  <si>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</si>
  <si>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</si>
  <si>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</si>
  <si>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</si>
  <si>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</si>
  <si>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</si>
  <si>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</si>
  <si>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</si>
  <si>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</si>
  <si>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</si>
  <si>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</si>
  <si>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</si>
  <si>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</si>
  <si>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</si>
  <si>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</si>
  <si>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</si>
  <si>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</si>
  <si>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</si>
  <si>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</si>
  <si>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</si>
  <si>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</si>
  <si>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</si>
  <si>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</si>
  <si>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</si>
  <si>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</si>
  <si>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</si>
  <si>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</si>
  <si>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</si>
  <si>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</si>
  <si>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</si>
  <si>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</si>
  <si>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</si>
  <si>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</si>
  <si>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</si>
  <si>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</si>
  <si>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</si>
  <si>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</si>
  <si>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</si>
  <si>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</si>
  <si>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</si>
  <si>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</si>
  <si>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</si>
  <si>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</si>
  <si>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</si>
  <si>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</si>
  <si>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</si>
  <si>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</si>
  <si>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</si>
  <si>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</si>
  <si>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</si>
  <si>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</si>
  <si>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</si>
  <si>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</si>
  <si>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</si>
  <si>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</si>
  <si>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</si>
  <si>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</si>
  <si>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</si>
  <si>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</si>
  <si>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</si>
  <si>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</si>
  <si>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</si>
  <si>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</si>
  <si>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</si>
  <si>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</si>
  <si>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</si>
  <si>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</si>
  <si>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</si>
  <si>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</si>
  <si>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</si>
  <si>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</si>
  <si>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</si>
  <si>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</si>
  <si>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</si>
  <si>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</si>
  <si>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</si>
  <si>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</si>
  <si>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</si>
  <si>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</si>
  <si>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</si>
  <si>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</si>
  <si>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</si>
  <si>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</si>
  <si>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</si>
  <si>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</si>
  <si>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</si>
  <si>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</si>
  <si>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</si>
  <si>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</si>
  <si>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</si>
  <si>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</si>
  <si>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</si>
  <si>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</si>
  <si>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</si>
  <si>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</si>
  <si>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</si>
  <si>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</si>
  <si>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</si>
  <si>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</si>
  <si>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</si>
  <si>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</si>
  <si>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</si>
  <si>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</si>
  <si>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</si>
  <si>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</si>
  <si>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</si>
  <si>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</si>
  <si>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</si>
  <si>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</si>
  <si>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</si>
  <si>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</si>
  <si>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</si>
  <si>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</si>
  <si>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</si>
  <si>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</si>
  <si>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</si>
  <si>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</si>
  <si>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</si>
  <si>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</si>
  <si>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</si>
  <si>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</si>
  <si>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</si>
  <si>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</si>
  <si>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</si>
  <si>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</si>
  <si>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</si>
  <si>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</si>
  <si>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</si>
  <si>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</si>
  <si>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</si>
  <si>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</si>
  <si>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</si>
  <si>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</si>
  <si>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</si>
  <si>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</si>
  <si>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</si>
  <si>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</si>
  <si>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</si>
  <si>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</si>
  <si>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</si>
  <si>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</si>
  <si>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</si>
  <si>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</si>
  <si>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</si>
  <si>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</si>
  <si>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</si>
  <si>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</si>
  <si>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</si>
  <si>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</si>
  <si>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</si>
  <si>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</si>
  <si>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</si>
  <si>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</si>
  <si>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</si>
  <si>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</si>
  <si>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</si>
  <si>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</si>
  <si>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</si>
  <si>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</si>
  <si>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</si>
  <si>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</si>
  <si>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</si>
  <si>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</si>
  <si>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</si>
  <si>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</si>
  <si>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</si>
  <si>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</si>
  <si>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</si>
  <si>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</si>
  <si>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</si>
  <si>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</si>
  <si>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</si>
  <si>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</si>
  <si>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</si>
  <si>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</si>
  <si>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</si>
  <si>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</si>
  <si>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</si>
  <si>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</si>
  <si>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</si>
  <si>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</si>
  <si>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</si>
  <si>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</si>
  <si>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</si>
  <si>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</si>
  <si>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</si>
  <si>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</si>
  <si>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</si>
  <si>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</si>
  <si>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</si>
  <si>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</si>
  <si>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</si>
  <si>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</si>
  <si>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</si>
  <si>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</si>
  <si>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</si>
  <si>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</si>
  <si>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</si>
  <si>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</si>
  <si>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</si>
  <si>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</si>
  <si>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</si>
  <si>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</si>
  <si>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</si>
  <si>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</si>
  <si>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</si>
  <si>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</si>
  <si>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</si>
  <si>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</si>
  <si>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</si>
  <si>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</si>
  <si>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</si>
  <si>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</si>
  <si>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</si>
  <si>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</si>
  <si>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</si>
  <si>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</si>
  <si>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</si>
  <si>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</si>
  <si>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</si>
  <si>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</si>
  <si>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</si>
  <si>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</si>
  <si>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</si>
  <si>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</si>
  <si>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</si>
  <si>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</si>
  <si>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</si>
  <si>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</si>
  <si>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</si>
  <si>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</si>
  <si>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</si>
  <si>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</si>
  <si>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</si>
  <si>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</si>
  <si>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</si>
  <si>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</si>
  <si>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</si>
  <si>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</si>
  <si>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</si>
  <si>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</si>
  <si>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</si>
  <si>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</si>
  <si>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</si>
  <si>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</si>
  <si>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</si>
  <si>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</si>
  <si>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</si>
  <si>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</si>
  <si>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</si>
  <si>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</si>
  <si>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</si>
  <si>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</si>
  <si>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</si>
  <si>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</si>
  <si>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</si>
  <si>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</si>
  <si>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</si>
  <si>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</si>
  <si>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</si>
  <si>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</si>
  <si>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</si>
  <si>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</si>
  <si>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</si>
  <si>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</si>
  <si>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</si>
  <si>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</si>
  <si>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</si>
  <si>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</si>
  <si>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</si>
  <si>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</si>
  <si>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</si>
  <si>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</si>
  <si>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</si>
  <si>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</si>
  <si>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</si>
  <si>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</si>
  <si>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</si>
  <si>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</si>
  <si>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</si>
  <si>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</si>
  <si>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</si>
  <si>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</si>
  <si>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</si>
  <si>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</si>
  <si>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</si>
  <si>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</si>
  <si>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</si>
  <si>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</si>
  <si>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</si>
  <si>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</si>
  <si>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</si>
  <si>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</si>
  <si>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</si>
  <si>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</si>
  <si>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</si>
  <si>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</si>
  <si>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</si>
  <si>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</si>
  <si>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</si>
  <si>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</si>
  <si>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</si>
  <si>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</si>
  <si>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</si>
  <si>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</si>
  <si>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</si>
  <si>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</si>
  <si>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</si>
  <si>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</si>
  <si>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</si>
  <si>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</si>
  <si>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</si>
  <si>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</si>
  <si>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</si>
  <si>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</si>
  <si>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</si>
  <si>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</si>
  <si>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</si>
  <si>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</si>
  <si>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</si>
  <si>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</si>
  <si>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</si>
  <si>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</si>
  <si>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</si>
  <si>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</si>
  <si>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</si>
  <si>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</si>
  <si>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</si>
  <si>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</si>
  <si>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</si>
  <si>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</si>
  <si>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</si>
  <si>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</si>
  <si>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</si>
  <si>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</si>
  <si>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</si>
  <si>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</si>
  <si>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</si>
  <si>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</si>
  <si>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</si>
  <si>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</si>
  <si>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</si>
  <si>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</si>
  <si>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</si>
  <si>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</si>
  <si>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</si>
  <si>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</si>
  <si>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</si>
  <si>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</si>
  <si>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</si>
  <si>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</si>
  <si>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</si>
  <si>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</si>
  <si>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</si>
  <si>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</si>
  <si>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</si>
  <si>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</si>
  <si>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</si>
  <si>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</si>
  <si>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</si>
  <si>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</si>
  <si>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</si>
  <si>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</si>
  <si>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</si>
  <si>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</si>
  <si>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</si>
  <si>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</si>
  <si>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</si>
  <si>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</si>
  <si>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</si>
  <si>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</si>
  <si>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</si>
  <si>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</si>
  <si>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</si>
  <si>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</si>
  <si>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</si>
  <si>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</si>
  <si>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</si>
  <si>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</si>
  <si>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</si>
  <si>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</si>
  <si>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</si>
  <si>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</si>
  <si>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</si>
  <si>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</si>
  <si>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</si>
  <si>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</si>
  <si>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</si>
  <si>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</si>
  <si>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</si>
  <si>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</si>
  <si>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</si>
  <si>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</si>
  <si>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</si>
  <si>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</si>
  <si>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</si>
  <si>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</si>
  <si>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</si>
  <si>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</si>
  <si>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</si>
  <si>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</si>
  <si>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</si>
  <si>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</si>
  <si>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</si>
  <si>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</si>
  <si>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</si>
  <si>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</si>
  <si>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</si>
  <si>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</si>
  <si>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</si>
  <si>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</si>
  <si>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</si>
  <si>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</si>
  <si>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</si>
  <si>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</si>
  <si>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</si>
  <si>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</si>
  <si>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</si>
  <si>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</si>
  <si>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</si>
  <si>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</si>
  <si>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</si>
  <si>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</si>
  <si>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</si>
  <si>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</si>
  <si>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</si>
  <si>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</si>
  <si>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</si>
  <si>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</si>
  <si>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</si>
  <si>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</si>
  <si>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</si>
  <si>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</si>
  <si>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</si>
  <si>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</si>
  <si>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</si>
  <si>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</si>
  <si>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</si>
  <si>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</si>
  <si>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</si>
  <si>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</si>
  <si>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</si>
  <si>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</si>
  <si>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</si>
  <si>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</si>
  <si>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</si>
  <si>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</si>
  <si>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</si>
  <si>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</si>
  <si>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</si>
  <si>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</si>
  <si>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</si>
  <si>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</si>
  <si>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</si>
  <si>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</si>
  <si>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</si>
  <si>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</si>
  <si>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</si>
  <si>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</si>
  <si>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</si>
  <si>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</si>
  <si>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</si>
  <si>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</si>
  <si>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</si>
  <si>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</si>
  <si>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</si>
  <si>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</si>
  <si>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</si>
  <si>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</si>
  <si>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</si>
  <si>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</si>
  <si>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</si>
  <si>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</si>
  <si>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</si>
  <si>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</si>
  <si>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</si>
  <si>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</si>
  <si>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</si>
  <si>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</si>
  <si>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</si>
  <si>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</si>
  <si>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</si>
  <si>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</si>
  <si>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</si>
  <si>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</si>
  <si>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</si>
  <si>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</si>
  <si>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</si>
  <si>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</si>
  <si>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</si>
  <si>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</si>
  <si>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</si>
  <si>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</si>
  <si>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</si>
  <si>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</si>
  <si>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</si>
  <si>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</si>
  <si>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</si>
  <si>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</si>
  <si>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</si>
  <si>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</si>
  <si>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</si>
  <si>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</si>
  <si>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</si>
  <si>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</si>
  <si>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</si>
  <si>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</si>
  <si>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</si>
  <si>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</si>
  <si>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</si>
  <si>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</si>
  <si>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</si>
  <si>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</si>
  <si>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</si>
  <si>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</si>
  <si>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</si>
  <si>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</si>
  <si>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</si>
  <si>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</si>
  <si>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</si>
  <si>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</si>
  <si>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</si>
  <si>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</si>
  <si>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</si>
  <si>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</si>
  <si>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</si>
  <si>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</si>
  <si>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</si>
  <si>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</si>
  <si>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</si>
  <si>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</si>
  <si>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</si>
  <si>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</si>
  <si>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</si>
  <si>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</si>
  <si>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</si>
  <si>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</si>
  <si>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</si>
  <si>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</si>
  <si>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</si>
  <si>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</si>
  <si>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</si>
  <si>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</si>
  <si>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</si>
  <si>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</si>
  <si>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</si>
  <si>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</si>
  <si>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</si>
  <si>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</si>
  <si>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</si>
  <si>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</si>
  <si>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</si>
  <si>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</si>
  <si>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</si>
  <si>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</si>
  <si>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</si>
  <si>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</si>
  <si>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</si>
  <si>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</si>
  <si>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</si>
  <si>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</si>
  <si>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</si>
  <si>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</si>
  <si>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</si>
  <si>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</si>
  <si>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</si>
  <si>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</si>
  <si>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</si>
  <si>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</si>
  <si>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</si>
  <si>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</si>
  <si>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</si>
  <si>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</si>
  <si>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</si>
  <si>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</si>
  <si>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</si>
  <si>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</si>
  <si>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</si>
  <si>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</si>
  <si>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</si>
  <si>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</si>
  <si>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</si>
  <si>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</si>
  <si>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</si>
  <si>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</si>
  <si>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</si>
  <si>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</si>
  <si>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</si>
  <si>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</si>
  <si>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</si>
  <si>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</si>
  <si>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</si>
  <si>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</si>
  <si>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</si>
  <si>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</si>
  <si>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</si>
  <si>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</si>
  <si>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</si>
  <si>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</si>
  <si>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</si>
  <si>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</si>
  <si>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</si>
  <si>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</si>
  <si>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</si>
  <si>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</si>
  <si>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</si>
  <si>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</si>
  <si>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</si>
  <si>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</si>
  <si>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</si>
  <si>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</si>
  <si>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</si>
  <si>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</si>
  <si>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</si>
  <si>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</si>
  <si>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</si>
  <si>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</si>
  <si>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</si>
  <si>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</si>
  <si>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</si>
  <si>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</si>
  <si>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</si>
  <si>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</si>
  <si>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</si>
  <si>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</si>
  <si>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</si>
  <si>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</si>
  <si>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</si>
  <si>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</si>
  <si>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</si>
  <si>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</si>
  <si>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</si>
  <si>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</si>
  <si>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</si>
  <si>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</si>
  <si>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</si>
  <si>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</si>
  <si>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</si>
  <si>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</si>
  <si>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</si>
  <si>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</si>
  <si>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</si>
  <si>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</si>
  <si>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</si>
  <si>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</si>
  <si>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</si>
  <si>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</si>
  <si>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</si>
  <si>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</si>
  <si>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</si>
  <si>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</si>
  <si>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</si>
  <si>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</si>
  <si>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</si>
  <si>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</si>
  <si>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</si>
  <si>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</si>
  <si>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</si>
  <si>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</si>
  <si>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</si>
  <si>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</si>
  <si>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</si>
  <si>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</si>
  <si>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</si>
  <si>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</si>
  <si>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</si>
  <si>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</si>
  <si>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</si>
  <si>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</si>
  <si>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</si>
  <si>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</si>
  <si>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</si>
  <si>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</si>
  <si>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</si>
  <si>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</si>
  <si>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</si>
  <si>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</si>
  <si>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</si>
  <si>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</si>
  <si>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</si>
  <si>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</si>
  <si>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</si>
  <si>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</si>
  <si>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</si>
  <si>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</si>
  <si>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</si>
  <si>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</si>
  <si>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</si>
  <si>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</si>
  <si>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</si>
  <si>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</si>
  <si>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</si>
  <si>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</si>
  <si>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</si>
  <si>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</si>
  <si>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</si>
  <si>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</si>
  <si>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</si>
  <si>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</si>
  <si>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</si>
  <si>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</si>
  <si>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</si>
  <si>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</si>
  <si>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</si>
  <si>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</si>
  <si>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</si>
  <si>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</si>
  <si>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</si>
  <si>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</si>
  <si>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</si>
  <si>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</si>
  <si>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</si>
  <si>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</si>
  <si>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</si>
  <si>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</si>
  <si>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</si>
  <si>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</si>
  <si>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</si>
  <si>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</si>
  <si>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</si>
  <si>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</si>
  <si>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</si>
  <si>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LA RIOJA</t>
  </si>
  <si>
    <t>Provincias</t>
  </si>
  <si>
    <t>Resumenes por Partidos Judiciales</t>
  </si>
  <si>
    <t>HARO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</si>
</sst>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0xvEnI4Ew3e4S5xEDWQhqmL6kat0fnNQpcRb0Gw3Npr4BbHNPgiBkVeBGTuCNvoAVEB54Ctr0vL61pBpldmUQ==" saltValue="+47YSVklAemlI/m7veMm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LA RIOJA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2</v>
      </c>
      <c r="F10" s="226">
        <f>IF(ISNUMBER(Datos!K10),Datos!K10," - ")</f>
        <v>2</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551</v>
      </c>
      <c r="D16" s="225">
        <f>IF(ISNUMBER(IF(D_I="SI",Datos!I16,Datos!I16+Datos!AC16)),IF(D_I="SI",Datos!I16,Datos!I16+Datos!AC16)," - ")</f>
        <v>548</v>
      </c>
      <c r="E16" s="226">
        <f>IF(ISNUMBER(IF(D_I="SI",Datos!J16,Datos!J16+Datos!AD16)),IF(D_I="SI",Datos!J16,Datos!J16+Datos!AD16)," - ")</f>
        <v>306</v>
      </c>
      <c r="F16" s="226">
        <f>IF(ISNUMBER(IF(D_I="SI",Datos!K16,Datos!K16+Datos!AE16)),IF(D_I="SI",Datos!K16,Datos!K16+Datos!AE16)," - ")</f>
        <v>277</v>
      </c>
      <c r="G16" s="1034" t="str">
        <f>IF(Datos!E16&lt;&gt;"",Datos!E16,Datos!D16)</f>
        <v>04</v>
      </c>
      <c r="H16" s="227">
        <f>IF(ISNUMBER(IF(D_I="SI",Datos!L16,Datos!L16+Datos!AF16)),IF(D_I="SI",Datos!L16,Datos!L16+Datos!AF16)," - ")</f>
        <v>580</v>
      </c>
      <c r="I16" s="1044" t="str">
        <f>IF(ISNUMBER(Datos!AS16/Datos!BM16),Datos!AS16/Datos!BM16," - ")</f>
        <v xml:space="preserve"> - </v>
      </c>
      <c r="J16" s="1045">
        <f>IF(ISNUMBER(Datos!BY16/Datos!CN16),Datos!BY16/Datos!CN16," - ")</f>
        <v>0</v>
      </c>
      <c r="K16" s="230">
        <f t="shared" si="3"/>
        <v>5.2631578947368418E-2</v>
      </c>
      <c r="L16" s="1025">
        <f>IF(ISNUMBER(NºAsuntos!I16/NºAsuntos!G16),(NºAsuntos!I16/NºAsuntos!G16)*11," - ")</f>
        <v>23.032490974729242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v>
      </c>
      <c r="D17" s="225">
        <f>IF(ISNUMBER(IF(D_I="SI",Datos!I17,Datos!I17+Datos!AC17)),IF(D_I="SI",Datos!I17,Datos!I17+Datos!AC17)," - ")</f>
        <v>37</v>
      </c>
      <c r="E17" s="226">
        <f>IF(ISNUMBER(IF(D_I="SI",Datos!J17,Datos!J17+Datos!AD17)),IF(D_I="SI",Datos!J17,Datos!J17+Datos!AD17)," - ")</f>
        <v>18</v>
      </c>
      <c r="F17" s="226">
        <f>IF(ISNUMBER(IF(D_I="SI",Datos!K17,Datos!K17+Datos!AE17)),IF(D_I="SI",Datos!K17,Datos!K17+Datos!AE17)," - ")</f>
        <v>21</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-8.1081081081081086E-2</v>
      </c>
      <c r="L17" s="1025">
        <f>IF(ISNUMBER(NºAsuntos!I17/NºAsuntos!G17),(NºAsuntos!I17/NºAsuntos!G17)*11," - ")</f>
        <v>17.80952380952381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588</v>
      </c>
      <c r="D18" s="1049">
        <f>SUBTOTAL(9,D15:D17)</f>
        <v>585</v>
      </c>
      <c r="E18" s="1050">
        <f>SUBTOTAL(9,E15:E17)</f>
        <v>324</v>
      </c>
      <c r="F18" s="1050">
        <f>SUBTOTAL(9,F15:F17)</f>
        <v>298</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592</v>
      </c>
      <c r="D19" s="1071">
        <f>SUBTOTAL(9,D9:D18)</f>
        <v>589</v>
      </c>
      <c r="E19" s="1072">
        <f>SUBTOTAL(9,E9:E18)</f>
        <v>326</v>
      </c>
      <c r="F19" s="1072">
        <f>SUBTOTAL(9,F9:F18)</f>
        <v>300</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YtXBzR5CDeFKyKMk9HL0zVVtvtMAlJ9vDuulV07zOPShIZYgUji2nz+F/WVz0EgJhieuaI45GB8EJLJNNx1iLw==" saltValue="9q87w6cYjuvYHrnevVB1O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1DgAdkejk4hdn/W5ND61ZnCzXW0MiXsn90G+Nfqrwrn/I1tx4McxmljmPt7gJcnFYh8kgMks3dNv1miWm5xwg==" saltValue="pyx7f6Jhg3g3lCFz5uvZ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v>
      </c>
      <c r="K10" s="181">
        <v>2</v>
      </c>
      <c r="L10" s="181">
        <v>4</v>
      </c>
      <c r="M10" s="181">
        <v>1</v>
      </c>
      <c r="N10" s="181">
        <v>1</v>
      </c>
      <c r="O10" s="181">
        <v>0</v>
      </c>
      <c r="P10" s="181">
        <v>0</v>
      </c>
      <c r="Q10" s="181">
        <v>0</v>
      </c>
      <c r="R10" s="181">
        <v>5</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818</v>
      </c>
      <c r="J12" s="183">
        <v>629</v>
      </c>
      <c r="K12" s="183">
        <v>537</v>
      </c>
      <c r="L12" s="183">
        <v>910</v>
      </c>
      <c r="M12" s="183">
        <v>151</v>
      </c>
      <c r="N12" s="183">
        <v>329</v>
      </c>
      <c r="O12" s="181">
        <v>153</v>
      </c>
      <c r="P12" s="183">
        <v>124</v>
      </c>
      <c r="Q12" s="183">
        <v>97</v>
      </c>
      <c r="R12" s="183">
        <v>1518</v>
      </c>
      <c r="S12" s="183">
        <v>1108</v>
      </c>
      <c r="T12" s="183">
        <v>407</v>
      </c>
      <c r="U12" s="183">
        <v>354</v>
      </c>
      <c r="V12" s="183">
        <v>1161</v>
      </c>
      <c r="W12" s="183">
        <v>96</v>
      </c>
      <c r="X12" s="189">
        <v>113</v>
      </c>
      <c r="Y12" s="191">
        <v>23</v>
      </c>
      <c r="Z12" s="181">
        <v>19</v>
      </c>
      <c r="AA12" s="181">
        <v>13</v>
      </c>
      <c r="AB12" s="181">
        <v>29</v>
      </c>
      <c r="AC12" s="183">
        <v>0</v>
      </c>
      <c r="AD12" s="183">
        <v>0</v>
      </c>
      <c r="AE12" s="183">
        <v>0</v>
      </c>
      <c r="AF12" s="189">
        <v>0</v>
      </c>
      <c r="AG12" s="202">
        <v>25</v>
      </c>
      <c r="AH12" s="183">
        <v>39</v>
      </c>
      <c r="AI12" s="183">
        <v>33</v>
      </c>
      <c r="AJ12" s="203">
        <v>31</v>
      </c>
      <c r="AK12" s="182">
        <v>0</v>
      </c>
      <c r="AL12" s="183">
        <v>0</v>
      </c>
      <c r="AM12" s="183">
        <v>0</v>
      </c>
      <c r="AN12" s="189">
        <v>0</v>
      </c>
      <c r="AO12" s="259">
        <v>2</v>
      </c>
      <c r="AP12" s="155">
        <v>2</v>
      </c>
      <c r="AQ12" s="155">
        <v>2</v>
      </c>
      <c r="AR12" s="154">
        <v>2</v>
      </c>
      <c r="AS12" s="340" t="s">
        <v>801</v>
      </c>
      <c r="AT12" s="203"/>
      <c r="AU12" s="202"/>
      <c r="AV12" s="203"/>
      <c r="AW12" s="202"/>
      <c r="AX12" s="203"/>
      <c r="AY12" s="126">
        <f t="shared" si="1"/>
        <v>1133</v>
      </c>
      <c r="AZ12" s="127">
        <f t="shared" si="1"/>
        <v>446</v>
      </c>
      <c r="BA12" s="127">
        <f t="shared" si="1"/>
        <v>387</v>
      </c>
      <c r="BB12" s="127">
        <f t="shared" si="1"/>
        <v>1192</v>
      </c>
      <c r="BC12" s="125">
        <f>IF(ISNUMBER(X12),X12," - ")</f>
        <v>113</v>
      </c>
      <c r="BD12" s="126">
        <f t="shared" si="2"/>
        <v>0.86771300448430488</v>
      </c>
      <c r="BE12" s="127">
        <f t="shared" si="3"/>
        <v>3.0801033591731266</v>
      </c>
      <c r="BF12" s="127">
        <f t="shared" si="4"/>
        <v>0.29198966408268734</v>
      </c>
      <c r="BG12" s="196">
        <f t="shared" si="5"/>
        <v>4.0801033591731271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822</v>
      </c>
      <c r="J13" s="184">
        <f t="shared" si="6"/>
        <v>631</v>
      </c>
      <c r="K13" s="184">
        <f t="shared" si="6"/>
        <v>539</v>
      </c>
      <c r="L13" s="184">
        <f t="shared" si="6"/>
        <v>914</v>
      </c>
      <c r="M13" s="184">
        <f t="shared" si="6"/>
        <v>152</v>
      </c>
      <c r="N13" s="184">
        <f t="shared" si="6"/>
        <v>330</v>
      </c>
      <c r="O13" s="184">
        <f t="shared" si="6"/>
        <v>153</v>
      </c>
      <c r="P13" s="184">
        <f t="shared" si="6"/>
        <v>124</v>
      </c>
      <c r="Q13" s="184">
        <f t="shared" si="6"/>
        <v>97</v>
      </c>
      <c r="R13" s="184">
        <f t="shared" si="6"/>
        <v>1523</v>
      </c>
      <c r="S13" s="184">
        <f t="shared" si="6"/>
        <v>1108</v>
      </c>
      <c r="T13" s="184">
        <f t="shared" si="6"/>
        <v>407</v>
      </c>
      <c r="U13" s="184">
        <f t="shared" si="6"/>
        <v>354</v>
      </c>
      <c r="V13" s="184">
        <f t="shared" si="6"/>
        <v>1161</v>
      </c>
      <c r="W13" s="184">
        <f t="shared" si="6"/>
        <v>96</v>
      </c>
      <c r="X13" s="184">
        <f t="shared" si="6"/>
        <v>113</v>
      </c>
      <c r="Y13" s="184">
        <f t="shared" si="6"/>
        <v>23</v>
      </c>
      <c r="Z13" s="184">
        <f t="shared" si="6"/>
        <v>19</v>
      </c>
      <c r="AA13" s="184">
        <f t="shared" si="6"/>
        <v>13</v>
      </c>
      <c r="AB13" s="184">
        <f t="shared" si="6"/>
        <v>29</v>
      </c>
      <c r="AC13" s="184">
        <f t="shared" si="6"/>
        <v>0</v>
      </c>
      <c r="AD13" s="184">
        <f t="shared" si="6"/>
        <v>0</v>
      </c>
      <c r="AE13" s="184">
        <f t="shared" si="6"/>
        <v>0</v>
      </c>
      <c r="AF13" s="184">
        <f>SUBTOTAL(9,AF9:AF12)</f>
        <v>0</v>
      </c>
      <c r="AG13" s="184">
        <f t="shared" ref="AG13:AT13" si="7">SUBTOTAL(9,AG8:AG12)</f>
        <v>25</v>
      </c>
      <c r="AH13" s="184">
        <f t="shared" si="7"/>
        <v>39</v>
      </c>
      <c r="AI13" s="184">
        <f t="shared" si="7"/>
        <v>33</v>
      </c>
      <c r="AJ13" s="184">
        <f t="shared" si="7"/>
        <v>31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1133</v>
      </c>
      <c r="AZ13" s="184">
        <f>SUBTOTAL(9,AZ8:AZ12)</f>
        <v>446</v>
      </c>
      <c r="BA13" s="184">
        <f>SUBTOTAL(9,BA8:BA12)</f>
        <v>387</v>
      </c>
      <c r="BB13" s="184">
        <f>SUBTOTAL(9,BB8:BB12)</f>
        <v>1192</v>
      </c>
      <c r="BC13" s="184">
        <f>SUBTOTAL(9,BC8:BC12)</f>
        <v>113</v>
      </c>
      <c r="BD13" s="205">
        <f>IF(ISNUMBER(BA13/AZ13),BA13/AZ13," - ")</f>
        <v>0.86771300448430488</v>
      </c>
      <c r="BE13" s="206">
        <f>IF(ISNUMBER(BB13/BA13),BB13/BA13, " - ")</f>
        <v>3.0801033591731266</v>
      </c>
      <c r="BF13" s="206">
        <f>IF(ISNUMBER(BC13/BA13),BC13/BA13, " - ")</f>
        <v>0.29198966408268734</v>
      </c>
      <c r="BG13" s="207">
        <f>IF(ISNUMBER((AY13+AZ13)/BA13),(AY13+AZ13)/BA13," - ")</f>
        <v>4.0801033591731271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548</v>
      </c>
      <c r="J16" s="183">
        <v>306</v>
      </c>
      <c r="K16" s="183">
        <v>277</v>
      </c>
      <c r="L16" s="183">
        <v>580</v>
      </c>
      <c r="M16" s="183">
        <v>51</v>
      </c>
      <c r="N16" s="183">
        <v>115</v>
      </c>
      <c r="O16" s="181">
        <v>1</v>
      </c>
      <c r="P16" s="183">
        <v>9</v>
      </c>
      <c r="Q16" s="183">
        <v>26</v>
      </c>
      <c r="R16" s="183">
        <v>45</v>
      </c>
      <c r="S16" s="183">
        <v>483</v>
      </c>
      <c r="T16" s="183">
        <v>229</v>
      </c>
      <c r="U16" s="183">
        <v>241</v>
      </c>
      <c r="V16" s="183">
        <v>477</v>
      </c>
      <c r="W16" s="183">
        <v>39</v>
      </c>
      <c r="X16" s="189">
        <v>89</v>
      </c>
      <c r="Y16" s="202">
        <v>0</v>
      </c>
      <c r="Z16" s="183">
        <v>0</v>
      </c>
      <c r="AA16" s="183">
        <v>0</v>
      </c>
      <c r="AB16" s="183">
        <v>0</v>
      </c>
      <c r="AC16" s="183">
        <v>0</v>
      </c>
      <c r="AD16" s="183">
        <v>1</v>
      </c>
      <c r="AE16" s="183">
        <v>1</v>
      </c>
      <c r="AF16" s="189">
        <v>0</v>
      </c>
      <c r="AG16" s="202">
        <v>0</v>
      </c>
      <c r="AH16" s="183">
        <v>0</v>
      </c>
      <c r="AI16" s="183">
        <v>0</v>
      </c>
      <c r="AJ16" s="203">
        <v>0</v>
      </c>
      <c r="AK16" s="182">
        <v>1</v>
      </c>
      <c r="AL16" s="183">
        <v>5</v>
      </c>
      <c r="AM16" s="183">
        <v>5</v>
      </c>
      <c r="AN16" s="189">
        <v>1</v>
      </c>
      <c r="AO16" s="259">
        <v>2</v>
      </c>
      <c r="AP16" s="155">
        <v>2</v>
      </c>
      <c r="AQ16" s="155">
        <v>2</v>
      </c>
      <c r="AR16" s="155">
        <v>2</v>
      </c>
      <c r="AS16" s="340" t="s">
        <v>487</v>
      </c>
      <c r="AT16" s="203"/>
      <c r="AU16" s="202"/>
      <c r="AV16" s="203"/>
      <c r="AW16" s="202"/>
      <c r="AX16" s="203"/>
      <c r="AY16" s="126">
        <f t="shared" si="9"/>
        <v>483</v>
      </c>
      <c r="AZ16" s="127">
        <f t="shared" si="9"/>
        <v>229</v>
      </c>
      <c r="BA16" s="127">
        <f t="shared" si="9"/>
        <v>241</v>
      </c>
      <c r="BB16" s="127">
        <f t="shared" si="9"/>
        <v>477</v>
      </c>
      <c r="BC16" s="125">
        <f>IF(ISNUMBER(W16),W16," - ")</f>
        <v>39</v>
      </c>
      <c r="BD16" s="126">
        <f t="shared" ref="BD16" si="11">IF(ISNUMBER(BA16/AZ16),BA16/AZ16," - ")</f>
        <v>1.0524017467248907</v>
      </c>
      <c r="BE16" s="127">
        <f t="shared" ref="BE16" si="12">IF(ISNUMBER(BB16/BA16),BB16/BA16, " - ")</f>
        <v>1.9792531120331951</v>
      </c>
      <c r="BF16" s="127">
        <f t="shared" ref="BF16" si="13">IF(ISNUMBER(BC16/BA16),BC16/BA16, " - ")</f>
        <v>0.16182572614107885</v>
      </c>
      <c r="BG16" s="196">
        <f t="shared" si="10"/>
        <v>2.9543568464730292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v>
      </c>
      <c r="J17" s="183">
        <v>18</v>
      </c>
      <c r="K17" s="183">
        <v>21</v>
      </c>
      <c r="L17" s="183">
        <v>34</v>
      </c>
      <c r="M17" s="183">
        <v>3</v>
      </c>
      <c r="N17" s="183">
        <v>14</v>
      </c>
      <c r="O17" s="183">
        <v>0</v>
      </c>
      <c r="P17" s="183">
        <v>0</v>
      </c>
      <c r="Q17" s="183">
        <v>0</v>
      </c>
      <c r="R17" s="183">
        <v>0</v>
      </c>
      <c r="S17" s="183">
        <v>48</v>
      </c>
      <c r="T17" s="183">
        <v>16</v>
      </c>
      <c r="U17" s="183">
        <v>13</v>
      </c>
      <c r="V17" s="183">
        <v>51</v>
      </c>
      <c r="W17" s="183">
        <v>1</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48</v>
      </c>
      <c r="AZ17" s="129">
        <f t="shared" si="14"/>
        <v>16</v>
      </c>
      <c r="BA17" s="129">
        <f t="shared" si="14"/>
        <v>13</v>
      </c>
      <c r="BB17" s="129">
        <f t="shared" si="14"/>
        <v>51</v>
      </c>
      <c r="BC17" s="125">
        <f>IF(ISNUMBER(W17),W17," - ")</f>
        <v>1</v>
      </c>
      <c r="BD17" s="126">
        <f>IF(ISNUMBER(BA17/AZ17),BA17/AZ17," - ")</f>
        <v>0.8125</v>
      </c>
      <c r="BE17" s="127">
        <f>IF(ISNUMBER(BB17/BA17),BB17/BA17, " - ")</f>
        <v>3.9230769230769229</v>
      </c>
      <c r="BF17" s="127">
        <f>IF(ISNUMBER(BC17/BA17),BC17/BA17, " - ")</f>
        <v>7.6923076923076927E-2</v>
      </c>
      <c r="BG17" s="196">
        <f>IF(ISNUMBER((AY17+AZ17)/BA17),(AY17+AZ17)/BA17," - ")</f>
        <v>4.9230769230769234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585</v>
      </c>
      <c r="J18" s="184">
        <f t="shared" si="15"/>
        <v>324</v>
      </c>
      <c r="K18" s="184">
        <f t="shared" si="15"/>
        <v>298</v>
      </c>
      <c r="L18" s="184">
        <f t="shared" si="15"/>
        <v>614</v>
      </c>
      <c r="M18" s="184">
        <f t="shared" si="15"/>
        <v>54</v>
      </c>
      <c r="N18" s="184">
        <f t="shared" si="15"/>
        <v>129</v>
      </c>
      <c r="O18" s="184">
        <f t="shared" si="15"/>
        <v>1</v>
      </c>
      <c r="P18" s="184">
        <f t="shared" si="15"/>
        <v>9</v>
      </c>
      <c r="Q18" s="184">
        <f t="shared" si="15"/>
        <v>26</v>
      </c>
      <c r="R18" s="184">
        <f t="shared" si="15"/>
        <v>45</v>
      </c>
      <c r="S18" s="184">
        <f t="shared" si="15"/>
        <v>531</v>
      </c>
      <c r="T18" s="184">
        <f t="shared" si="15"/>
        <v>245</v>
      </c>
      <c r="U18" s="184">
        <f t="shared" si="15"/>
        <v>254</v>
      </c>
      <c r="V18" s="184">
        <f t="shared" si="15"/>
        <v>528</v>
      </c>
      <c r="W18" s="184">
        <f t="shared" si="15"/>
        <v>40</v>
      </c>
      <c r="X18" s="184">
        <f t="shared" si="15"/>
        <v>102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1</v>
      </c>
      <c r="AL18" s="184">
        <f t="shared" si="15"/>
        <v>5</v>
      </c>
      <c r="AM18" s="184">
        <f t="shared" si="15"/>
        <v>5</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531</v>
      </c>
      <c r="AZ18" s="184">
        <f>SUBTOTAL(9,AZ14:AZ17)</f>
        <v>245</v>
      </c>
      <c r="BA18" s="184">
        <f>SUBTOTAL(9,BA14:BA17)</f>
        <v>254</v>
      </c>
      <c r="BB18" s="184">
        <f>SUBTOTAL(9,BB14:BB17)</f>
        <v>528</v>
      </c>
      <c r="BC18" s="184">
        <f>SUBTOTAL(9,BC14:BC17)</f>
        <v>40</v>
      </c>
      <c r="BD18" s="205">
        <f>IF(ISNUMBER(BA18/AZ18),BA18/AZ18," - ")</f>
        <v>1.036734693877551</v>
      </c>
      <c r="BE18" s="206">
        <f>IF(ISNUMBER(BB18/BA18),BB18/BA18, " - ")</f>
        <v>2.0787401574803148</v>
      </c>
      <c r="BF18" s="206">
        <f>IF(ISNUMBER(BC18/BA18),BC18/BA18, " - ")</f>
        <v>0.15748031496062992</v>
      </c>
      <c r="BG18" s="207">
        <f>IF(ISNUMBER((AY18+AZ18)/BA18),(AY18+AZ18)/BA18," - ")</f>
        <v>3.0551181102362204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1407</v>
      </c>
      <c r="J19" s="134">
        <f t="shared" si="18"/>
        <v>955</v>
      </c>
      <c r="K19" s="134">
        <f t="shared" si="18"/>
        <v>837</v>
      </c>
      <c r="L19" s="134">
        <f t="shared" si="18"/>
        <v>1528</v>
      </c>
      <c r="M19" s="134">
        <f t="shared" si="18"/>
        <v>206</v>
      </c>
      <c r="N19" s="134">
        <f t="shared" si="18"/>
        <v>459</v>
      </c>
      <c r="O19" s="134">
        <f t="shared" si="18"/>
        <v>154</v>
      </c>
      <c r="P19" s="134">
        <f t="shared" si="18"/>
        <v>133</v>
      </c>
      <c r="Q19" s="134">
        <f t="shared" si="18"/>
        <v>123</v>
      </c>
      <c r="R19" s="134">
        <f t="shared" si="18"/>
        <v>1568</v>
      </c>
      <c r="S19" s="134">
        <f t="shared" si="18"/>
        <v>1639</v>
      </c>
      <c r="T19" s="134">
        <f t="shared" si="18"/>
        <v>652</v>
      </c>
      <c r="U19" s="134">
        <f t="shared" si="18"/>
        <v>608</v>
      </c>
      <c r="V19" s="134">
        <f t="shared" si="18"/>
        <v>1689</v>
      </c>
      <c r="W19" s="134">
        <f t="shared" si="18"/>
        <v>136</v>
      </c>
      <c r="X19" s="134">
        <f t="shared" si="18"/>
        <v>215</v>
      </c>
      <c r="Y19" s="134">
        <f t="shared" si="18"/>
        <v>23</v>
      </c>
      <c r="Z19" s="134">
        <f t="shared" si="18"/>
        <v>19</v>
      </c>
      <c r="AA19" s="134">
        <f t="shared" si="18"/>
        <v>13</v>
      </c>
      <c r="AB19" s="134">
        <f t="shared" si="18"/>
        <v>29</v>
      </c>
      <c r="AC19" s="134">
        <f t="shared" si="18"/>
        <v>0</v>
      </c>
      <c r="AD19" s="134">
        <f t="shared" si="18"/>
        <v>1</v>
      </c>
      <c r="AE19" s="134">
        <f t="shared" si="18"/>
        <v>1</v>
      </c>
      <c r="AF19" s="134">
        <f t="shared" si="18"/>
        <v>0</v>
      </c>
      <c r="AG19" s="134">
        <f t="shared" si="18"/>
        <v>25</v>
      </c>
      <c r="AH19" s="134">
        <f t="shared" si="18"/>
        <v>39</v>
      </c>
      <c r="AI19" s="134">
        <f t="shared" si="18"/>
        <v>33</v>
      </c>
      <c r="AJ19" s="134">
        <f t="shared" si="18"/>
        <v>31</v>
      </c>
      <c r="AK19" s="134">
        <f t="shared" si="18"/>
        <v>1</v>
      </c>
      <c r="AL19" s="134">
        <f t="shared" si="18"/>
        <v>5</v>
      </c>
      <c r="AM19" s="134">
        <f t="shared" si="18"/>
        <v>5</v>
      </c>
      <c r="AN19" s="210">
        <f t="shared" si="18"/>
        <v>1</v>
      </c>
      <c r="AO19" s="211">
        <v>3</v>
      </c>
      <c r="AP19" s="211">
        <v>2</v>
      </c>
      <c r="AQ19" s="211">
        <v>2</v>
      </c>
      <c r="AR19" s="211">
        <v>2</v>
      </c>
      <c r="AS19" s="153">
        <f t="shared" si="18"/>
        <v>0</v>
      </c>
      <c r="AT19" s="153">
        <f t="shared" si="18"/>
        <v>0</v>
      </c>
      <c r="AU19" s="211"/>
      <c r="AV19" s="212"/>
      <c r="AW19" s="211"/>
      <c r="AX19" s="212"/>
      <c r="AY19" s="133">
        <f>SUBTOTAL(9,AY9:AY18)</f>
        <v>1664</v>
      </c>
      <c r="AZ19" s="134">
        <f>SUBTOTAL(9,AZ9:AZ18)</f>
        <v>691</v>
      </c>
      <c r="BA19" s="134">
        <f>SUBTOTAL(9,BA9:BA18)</f>
        <v>641</v>
      </c>
      <c r="BB19" s="134">
        <f>SUBTOTAL(9,BB9:BB18)</f>
        <v>1720</v>
      </c>
      <c r="BC19" s="135">
        <f>SUBTOTAL(9,BC9:BC18)</f>
        <v>153</v>
      </c>
      <c r="BD19" s="213">
        <f>IF(ISNUMBER(BA19/AZ19),BA19/AZ19," - ")</f>
        <v>0.9276410998552822</v>
      </c>
      <c r="BE19" s="210">
        <f>IF(ISNUMBER(BB19/BA19),BB19/BA19, " - ")</f>
        <v>2.6833073322932917</v>
      </c>
      <c r="BF19" s="210">
        <f>IF(ISNUMBER(BC19/BA19),BC19/BA19, " - ")</f>
        <v>0.23868954758190328</v>
      </c>
      <c r="BG19" s="135">
        <f>IF(ISNUMBER((AY19+AZ19)/BA19),(AY19+AZ19)/BA19," - ")</f>
        <v>3.6739469578783153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Wl9J87OACKpKwD2mJLzmxinisFBqZx7IaeJORxlYiGK+baM0/Th5hJ918U0Z4yxPoG6V/gKrSUjEIrfL0BMAw==" saltValue="r4WKBqVb8umfMDT8fuGvu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Smt4WOJIUQWX3HciimxAHkUg/VkLLrQX345sEwXmV1aNSip9YeXzutmstXSNZyC4kFkWYEgh1JqZRYNQpZA7g==" saltValue="IOKSdx3flwkbWriXXlie8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HARO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4</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124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v>
      </c>
      <c r="AI12" s="334" t="str">
        <f>IF(ISNUMBER(Datos!CD12),Datos!CD12,"-")</f>
        <v>-</v>
      </c>
      <c r="AJ12" s="334" t="str">
        <f>IF(ISNUMBER(Datos!EN12),Datos!EN12," - ")</f>
        <v xml:space="preserve"> - </v>
      </c>
      <c r="AK12" s="334"/>
      <c r="AL12" s="479"/>
      <c r="AM12" s="335">
        <f>IF(ISNUMBER(Datos!R12),Datos!R12," - ")</f>
        <v>1518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151</v>
      </c>
      <c r="BD12" s="229">
        <f>IF(ISNUMBER(Datos!N12),Datos!N12," - ")</f>
        <v>329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0.84876543209876543</v>
      </c>
      <c r="BH12" s="260">
        <f>IF(ISNUMBER(((IF(J_V="SI",Datos!L12/Datos!K12,(Datos!L12+Datos!AB12)/(Datos!K12+Datos!AA12)))*11)/factor_trimestre),((IF(J_V="SI",Datos!L12/Datos!K12,(Datos!L12+Datos!AB12)/(Datos!K12+Datos!AA12)))*11)/factor_trimestre," - ")</f>
        <v>5.121818181818182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1.8108651911468814E-2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124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97</v>
      </c>
      <c r="AD13" s="899">
        <f t="shared" si="1"/>
        <v>0</v>
      </c>
      <c r="AE13" s="899">
        <f t="shared" si="1"/>
        <v>0</v>
      </c>
      <c r="AF13" s="899">
        <f t="shared" si="1"/>
        <v>4</v>
      </c>
      <c r="AG13" s="899">
        <f t="shared" si="1"/>
        <v>0</v>
      </c>
      <c r="AH13" s="899">
        <f t="shared" si="1"/>
        <v>29</v>
      </c>
      <c r="AI13" s="899">
        <f t="shared" si="1"/>
        <v>0</v>
      </c>
      <c r="AJ13" s="899">
        <f t="shared" si="1"/>
        <v>0</v>
      </c>
      <c r="AK13" s="899">
        <f t="shared" si="1"/>
        <v>0</v>
      </c>
      <c r="AL13" s="899">
        <f t="shared" si="1"/>
        <v>0</v>
      </c>
      <c r="AM13" s="899">
        <f t="shared" si="1"/>
        <v>1523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152</v>
      </c>
      <c r="BD13" s="899">
        <f t="shared" si="1"/>
        <v>330</v>
      </c>
      <c r="BE13" s="899">
        <f t="shared" si="1"/>
        <v>0</v>
      </c>
      <c r="BF13" s="899">
        <f t="shared" si="1"/>
        <v>0</v>
      </c>
      <c r="BG13" s="899">
        <f>IF(ISNUMBER(Datos!K13/Datos!J13),Datos!K13/Datos!J13," - ")</f>
        <v>0.85419968304278926</v>
      </c>
      <c r="BH13" s="903">
        <f>IF(ISNUMBER(((Datos!L13/Datos!K13)*11)/factor_trimestre),((Datos!L13/Datos!K13)*11)/factor_trimestre," - ")</f>
        <v>5.0871985157699449</v>
      </c>
      <c r="BI13" s="899">
        <f>IF(ISNUMBER('Resol  Asuntos'!D13/NºAsuntos!G13),'Resol  Asuntos'!D13/NºAsuntos!G13," - ")</f>
        <v>0.27536231884057971</v>
      </c>
      <c r="BJ13" s="899" t="str">
        <f>IF(ISNUMBER(Datos!CI13/Datos!CJ13),Datos!CI13/Datos!CJ13," - ")</f>
        <v xml:space="preserve"> - </v>
      </c>
      <c r="BK13" s="899">
        <f>SUBTOTAL(9,BK8:BK12)</f>
        <v>0</v>
      </c>
      <c r="BL13" s="899">
        <f>IF(ISNUMBER((I13-AB13+L13)/(F13)),(I13-AB13+L13)/(F13)," - ")</f>
        <v>-0.5</v>
      </c>
      <c r="BM13" s="904">
        <f>SUBTOTAL(9,BM9:BM12)</f>
        <v>1.8108651911468814E-2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551</v>
      </c>
      <c r="G16" s="598">
        <f>IF(ISNUMBER(IF(D_I="SI",Datos!I16,Datos!I16+Datos!AC16)),IF(D_I="SI",Datos!I16,Datos!I16+Datos!AC16)," - ")</f>
        <v>548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277</v>
      </c>
      <c r="AC16" s="226">
        <f>IF(ISNUMBER(Datos!Q16),Datos!Q16," - ")</f>
        <v>26</v>
      </c>
      <c r="AD16" s="334"/>
      <c r="AE16" s="484"/>
      <c r="AF16" s="596">
        <f>IF(ISNUMBER(IF(D_I="SI",Datos!L16,Datos!L16+Datos!AF16)),IF(D_I="SI",Datos!L16,Datos!L16+Datos!AF16)," - ")</f>
        <v>580</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115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0.90522875816993464</v>
      </c>
      <c r="BH16" s="260">
        <f>IF(ISNUMBER(((IF(D_I="SI",Datos!L16/Datos!K16,(Datos!L16+Datos!AF16)/(Datos!K16+Datos!AE16)))*11)/factor_trimestre),((IF(D_I="SI",Datos!L16/Datos!K16,(Datos!L16+Datos!AF16)/(Datos!K16+Datos!AE16)))*11)/factor_trimestre," - ")</f>
        <v>6.2815884476534301</v>
      </c>
      <c r="BI16" s="243">
        <f>IF(ISNUMBER('Resol  Asuntos'!D16/NºAsuntos!G16),'Resol  Asuntos'!D16/NºAsuntos!G16," - ")</f>
        <v>0.18411552346570398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34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1.1666666666666667</v>
      </c>
      <c r="BH17" s="260">
        <f>IF(ISNUMBER(((IF(D_I="SI",Datos!L17/Datos!K17,(Datos!L17+Datos!AF17)/(Datos!K17+Datos!AE17)))*11)/factor_trimestre),((IF(D_I="SI",Datos!L17/Datos!K17,(Datos!L17+Datos!AF17)/(Datos!K17+Datos!AE17)))*11)/factor_trimestre," - ")</f>
        <v>4.8571428571428577</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551</v>
      </c>
      <c r="G18" s="898">
        <f>SUBTOTAL(9,G15:G17)</f>
        <v>585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298</v>
      </c>
      <c r="AC18" s="899">
        <f t="shared" si="4"/>
        <v>26</v>
      </c>
      <c r="AD18" s="899">
        <f t="shared" si="4"/>
        <v>0</v>
      </c>
      <c r="AE18" s="899">
        <f t="shared" si="4"/>
        <v>0</v>
      </c>
      <c r="AF18" s="899">
        <f t="shared" si="4"/>
        <v>614</v>
      </c>
      <c r="AG18" s="899">
        <f t="shared" si="4"/>
        <v>0</v>
      </c>
      <c r="AH18" s="899">
        <f t="shared" si="4"/>
        <v>0</v>
      </c>
      <c r="AI18" s="899">
        <f t="shared" si="4"/>
        <v>0</v>
      </c>
      <c r="AJ18" s="899">
        <f t="shared" si="4"/>
        <v>0</v>
      </c>
      <c r="AK18" s="899">
        <f t="shared" si="4"/>
        <v>0</v>
      </c>
      <c r="AL18" s="899">
        <f t="shared" si="4"/>
        <v>0</v>
      </c>
      <c r="AM18" s="899">
        <f t="shared" si="4"/>
        <v>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v>
      </c>
      <c r="BD18" s="899">
        <f t="shared" si="4"/>
        <v>129</v>
      </c>
      <c r="BE18" s="899">
        <f t="shared" si="4"/>
        <v>0</v>
      </c>
      <c r="BF18" s="899">
        <f t="shared" si="4"/>
        <v>0</v>
      </c>
      <c r="BG18" s="899">
        <f>IF(ISNUMBER(Datos!K18/Datos!J18),Datos!K18/Datos!J18," - ")</f>
        <v>0.91975308641975306</v>
      </c>
      <c r="BH18" s="903">
        <f>IF(ISNUMBER(((Datos!L18/Datos!K18)*11)/factor_trimestre),((Datos!L18/Datos!K18)*11)/factor_trimestre," - ")</f>
        <v>6.1812080536912752</v>
      </c>
      <c r="BI18" s="899">
        <f>SUBTOTAL(9,BI15:BI17)</f>
        <v>0.32697266632284683</v>
      </c>
      <c r="BJ18" s="899">
        <f>SUBTOTAL(9,BJ15:BJ17)</f>
        <v>0</v>
      </c>
      <c r="BK18" s="899">
        <f>SUBTOTAL(9,BK15:BK17)</f>
        <v>0</v>
      </c>
      <c r="BL18" s="899">
        <f>IF(ISNUMBER((I18-AB18+L18)/(F18)),(I18-AB18+L18)/(F18)," - ")</f>
        <v>-0.54083484573502727</v>
      </c>
      <c r="BM18" s="905">
        <f>IF(ISNUMBER((Datos!P18-Datos!Q18)/(Datos!R18-Datos!P18+Datos!Q18)),(Datos!P18-Datos!Q18)/(Datos!R18-Datos!P18+Datos!Q18)," - ")</f>
        <v>-0.27419354838709675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555</v>
      </c>
      <c r="G19" s="820">
        <f t="shared" si="6"/>
        <v>589</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133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300</v>
      </c>
      <c r="AC19" s="821">
        <f t="shared" si="7"/>
        <v>123</v>
      </c>
      <c r="AD19" s="821">
        <f t="shared" si="7"/>
        <v>0</v>
      </c>
      <c r="AE19" s="821">
        <f t="shared" si="7"/>
        <v>0</v>
      </c>
      <c r="AF19" s="828">
        <f t="shared" si="7"/>
        <v>618</v>
      </c>
      <c r="AG19" s="828">
        <f t="shared" si="7"/>
        <v>0</v>
      </c>
      <c r="AH19" s="828">
        <f t="shared" si="7"/>
        <v>29</v>
      </c>
      <c r="AI19" s="828">
        <f t="shared" si="7"/>
        <v>0</v>
      </c>
      <c r="AJ19" s="821">
        <f t="shared" si="7"/>
        <v>0</v>
      </c>
      <c r="AK19" s="828">
        <f t="shared" si="7"/>
        <v>0</v>
      </c>
      <c r="AL19" s="828">
        <f t="shared" si="7"/>
        <v>0</v>
      </c>
      <c r="AM19" s="828">
        <f t="shared" si="7"/>
        <v>1568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206</v>
      </c>
      <c r="BD19" s="820">
        <f t="shared" si="7"/>
        <v>459</v>
      </c>
      <c r="BE19" s="820">
        <f t="shared" si="7"/>
        <v>0</v>
      </c>
      <c r="BF19" s="830">
        <f t="shared" si="7"/>
        <v>0</v>
      </c>
      <c r="BG19" s="915">
        <f>IF(ISNUMBER(Datos!K19/Datos!J19),Datos!K19/Datos!J19," - ")</f>
        <v>0.87643979057591626</v>
      </c>
      <c r="BH19" s="915">
        <f>IF(ISNUMBER(((Datos!L19/Datos!K19)*11)/factor_trimestre),((Datos!L19/Datos!K19)*11)/factor_trimestre," - ")</f>
        <v>5.4767025089605745</v>
      </c>
      <c r="BI19" s="813">
        <f>IF(ISNUMBER(Datos!J19/Datos!I19),Datos!J19/Datos!I19," - ")</f>
        <v>0.67874911158493245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-0.54054054054054057</v>
      </c>
      <c r="BM19" s="889">
        <f>IF(ISNUMBER((Datos!P19-Datos!Q19+R19)/(Datos!R19-Datos!P19+Datos!Q19-R19)),(Datos!P19-Datos!Q19+R19)/(Datos!R19-Datos!P19+Datos!Q19-R19)," - ")</f>
        <v>6.4184852374839542E-3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315.81059724672531</v>
      </c>
      <c r="G21" s="552">
        <f>IF(ISNUMBER(STDEV(G8:G18)),STDEV(G8:G18),"-")</f>
        <v>302.65211051634844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153.28241908320732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68.03136531532104</v>
      </c>
      <c r="BD21" s="551"/>
      <c r="BE21" s="551">
        <f>IF(ISNUMBER(STDEV(BE8:BE18)),STDEV(BE8:BE18),"-")</f>
        <v>0</v>
      </c>
      <c r="BF21" s="556">
        <f>IF(ISNUMBER(STDEV(BF8:BF18)),STDEV(BF8:BF18),"-")</f>
        <v>0</v>
      </c>
      <c r="BG21" s="775">
        <f>IF(ISNUMBER(STDEV(BG8:BG18)),STDEV(BG8:BG18),"-")</f>
        <v>0.11982077222619116</v>
      </c>
      <c r="BH21" s="776">
        <f>IF(ISNUMBER(STDEV(BH8:BH18)),STDEV(BH8:BH18),"-")</f>
        <v>0.63324313732051629</v>
      </c>
      <c r="BI21" s="249">
        <f>IF(ISNUMBER(STDEV(BI8:BI18)),STDEV(BI8:BI18),"-")</f>
        <v>8.3942525234344895E-2</v>
      </c>
      <c r="BJ21" s="230" t="str">
        <f>IF(ISNUMBER(BL21/BM21),BL21/BM21," - ")</f>
        <v xml:space="preserve"> - </v>
      </c>
      <c r="BK21" s="575"/>
      <c r="BL21" s="559">
        <f>IF(ISNUMBER(STDEV(BL8:BL18)),STDEV(BL8:BL18),"-")</f>
        <v>2.8874596327944351E-2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wnlCKM3+Splv062RJWCAC3vBT5qiIje26ZzIBaz/5OqDWGPny71cTvM5o4BMqS9GuMUuWSwoX7yB7KDSQmv9Ow==" saltValue="bK9UIugFnakcSoo/LUMMH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HARO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4</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97</v>
      </c>
      <c r="AA12" s="332" t="str">
        <f>IF(ISNUMBER(IF(J_V="SI",Datos!L12,Datos!L12+Datos!AB12)-IF(Monitorios="SI",Datos!CD12,0)),
                          IF(J_V="SI",Datos!L12,Datos!L12+Datos!AB12)-IF(Monitorios="SI",Datos!CD12,0),
                          " - ")</f>
        <v xml:space="preserve"> - </v>
      </c>
      <c r="AB12" s="334"/>
      <c r="AC12" s="334"/>
      <c r="AD12" s="484"/>
      <c r="AE12" s="484">
        <f>IF(ISNUMBER(Datos!R12),Datos!R12," - ")</f>
        <v>1518</v>
      </c>
      <c r="AF12" s="229" t="str">
        <f>IF(ISNUMBER(Datos!BV12),Datos!BV12," - ")</f>
        <v xml:space="preserve"> - </v>
      </c>
      <c r="AG12" s="225" t="str">
        <f>IF(ISNUMBER(Datos!DV12),Datos!DV12," - ")</f>
        <v xml:space="preserve"> - </v>
      </c>
      <c r="AH12" s="298"/>
      <c r="AI12" s="227"/>
      <c r="AJ12" s="225">
        <f>IF(ISNUMBER(Datos!M12),Datos!M12," - ")</f>
        <v>151</v>
      </c>
      <c r="AK12" s="229">
        <f>IF(ISNUMBER(Datos!N12),Datos!N12," - ")</f>
        <v>329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5.121818181818182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1.8108651911468814E-2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97</v>
      </c>
      <c r="AA13" s="900">
        <f t="shared" si="2"/>
        <v>4</v>
      </c>
      <c r="AB13" s="900">
        <f t="shared" si="2"/>
        <v>0</v>
      </c>
      <c r="AC13" s="900">
        <f t="shared" si="2"/>
        <v>0</v>
      </c>
      <c r="AD13" s="900">
        <f t="shared" si="2"/>
        <v>0</v>
      </c>
      <c r="AE13" s="900">
        <f t="shared" si="2"/>
        <v>1523</v>
      </c>
      <c r="AF13" s="908">
        <f t="shared" si="2"/>
        <v>0</v>
      </c>
      <c r="AG13" s="908">
        <f t="shared" si="2"/>
        <v>0</v>
      </c>
      <c r="AH13" s="908">
        <f t="shared" si="2"/>
        <v>0</v>
      </c>
      <c r="AI13" s="908">
        <f t="shared" si="2"/>
        <v>0</v>
      </c>
      <c r="AJ13" s="908">
        <f t="shared" si="2"/>
        <v>152</v>
      </c>
      <c r="AK13" s="908">
        <f t="shared" si="2"/>
        <v>330</v>
      </c>
      <c r="AL13" s="908">
        <f t="shared" si="2"/>
        <v>0</v>
      </c>
      <c r="AM13" s="908">
        <f t="shared" si="2"/>
        <v>0</v>
      </c>
      <c r="AN13" s="908">
        <f t="shared" si="2"/>
        <v>0</v>
      </c>
      <c r="AO13" s="904">
        <f>IF(ISNUMBER(((NºAsuntos!I13/NºAsuntos!G13)*11)/factor_trimestre),((NºAsuntos!I13/NºAsuntos!G13)*11)/factor_trimestre," - ")</f>
        <v>5.125</v>
      </c>
      <c r="AP13" s="910" t="str">
        <f>IF(ISNUMBER(Datos!CI13/Datos!CJ13),Datos!CI13/Datos!CJ13," - ")</f>
        <v xml:space="preserve"> - </v>
      </c>
      <c r="AQ13" s="928">
        <f t="shared" ref="AQ13:AV13" si="3">SUBTOTAL(9,AQ9:AQ12)</f>
        <v>0</v>
      </c>
      <c r="AR13" s="928">
        <f t="shared" si="3"/>
        <v>1.8108651911468814E-2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551</v>
      </c>
      <c r="G16" s="225">
        <f>IF(ISNUMBER(IF(D_I="SI",Datos!I16,Datos!I16+Datos!AC16)),IF(D_I="SI",Datos!I16,Datos!I16+Datos!AC16)," - ")</f>
        <v>548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277</v>
      </c>
      <c r="Z16" s="619">
        <f>IF(ISNUMBER(Datos!Q16),Datos!Q16," - ")</f>
        <v>26</v>
      </c>
      <c r="AA16" s="332">
        <f>IF(ISNUMBER(IF(D_I="SI",Datos!L16,Datos!L16+Datos!AF16)),IF(D_I="SI",Datos!L16,Datos!L16+Datos!AF16)," - ")</f>
        <v>580</v>
      </c>
      <c r="AB16" s="334"/>
      <c r="AC16" s="334"/>
      <c r="AD16" s="484"/>
      <c r="AE16" s="484">
        <f>IF(ISNUMBER(Datos!R16),Datos!R16," - ")</f>
        <v>45</v>
      </c>
      <c r="AF16" s="229" t="str">
        <f>IF(ISNUMBER(Datos!BV16),Datos!BV16," - ")</f>
        <v xml:space="preserve"> - </v>
      </c>
      <c r="AG16" s="225"/>
      <c r="AH16" s="298"/>
      <c r="AI16" s="227"/>
      <c r="AJ16" s="225">
        <f>IF(ISNUMBER(Datos!M16),Datos!M16," - ")</f>
        <v>51</v>
      </c>
      <c r="AK16" s="229">
        <f>IF(ISNUMBER(Datos!N16),Datos!N16," - ")</f>
        <v>115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6.2815884476534301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34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4.8571428571428577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551</v>
      </c>
      <c r="G18" s="898">
        <f>SUBTOTAL(9,G15:G17)</f>
        <v>585</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298</v>
      </c>
      <c r="Z18" s="932">
        <f t="shared" si="5"/>
        <v>26</v>
      </c>
      <c r="AA18" s="932">
        <f t="shared" si="5"/>
        <v>614</v>
      </c>
      <c r="AB18" s="932">
        <f t="shared" si="5"/>
        <v>0</v>
      </c>
      <c r="AC18" s="932">
        <f t="shared" si="5"/>
        <v>0</v>
      </c>
      <c r="AD18" s="932">
        <f t="shared" si="5"/>
        <v>0</v>
      </c>
      <c r="AE18" s="932">
        <f t="shared" si="5"/>
        <v>45</v>
      </c>
      <c r="AF18" s="932">
        <f t="shared" si="5"/>
        <v>0</v>
      </c>
      <c r="AG18" s="932">
        <f t="shared" si="5"/>
        <v>0</v>
      </c>
      <c r="AH18" s="932">
        <f t="shared" si="5"/>
        <v>0</v>
      </c>
      <c r="AI18" s="932">
        <f t="shared" si="5"/>
        <v>0</v>
      </c>
      <c r="AJ18" s="932">
        <f t="shared" si="5"/>
        <v>54</v>
      </c>
      <c r="AK18" s="932">
        <f t="shared" si="5"/>
        <v>129</v>
      </c>
      <c r="AL18" s="932">
        <f t="shared" si="5"/>
        <v>0</v>
      </c>
      <c r="AM18" s="932">
        <f t="shared" si="5"/>
        <v>0</v>
      </c>
      <c r="AN18" s="932">
        <f t="shared" si="5"/>
        <v>0</v>
      </c>
      <c r="AO18" s="934">
        <f>IF(ISNUMBER(((NºAsuntos!I18/NºAsuntos!G18)*11)/factor_trimestre),((NºAsuntos!I18/NºAsuntos!G18)*11)/factor_trimestre," - ")</f>
        <v>6.1812080536912752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555</v>
      </c>
      <c r="G19" s="820">
        <f t="shared" si="7"/>
        <v>589</v>
      </c>
      <c r="H19" s="821">
        <f t="shared" si="7"/>
        <v>0</v>
      </c>
      <c r="I19" s="820">
        <f t="shared" si="7"/>
        <v>0</v>
      </c>
      <c r="J19" s="822">
        <f t="shared" si="7"/>
        <v>0</v>
      </c>
      <c r="K19" s="820">
        <f t="shared" si="7"/>
        <v>0</v>
      </c>
      <c r="L19" s="823">
        <f t="shared" si="7"/>
        <v>0</v>
      </c>
      <c r="M19" s="820">
        <f t="shared" si="7"/>
        <v>0</v>
      </c>
      <c r="N19" s="821">
        <f t="shared" si="7"/>
        <v>133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300</v>
      </c>
      <c r="Z19" s="827">
        <f t="shared" si="8"/>
        <v>123</v>
      </c>
      <c r="AA19" s="828">
        <f t="shared" si="8"/>
        <v>618</v>
      </c>
      <c r="AB19" s="828">
        <f t="shared" si="8"/>
        <v>0</v>
      </c>
      <c r="AC19" s="828">
        <f t="shared" si="8"/>
        <v>0</v>
      </c>
      <c r="AD19" s="829">
        <f t="shared" si="8"/>
        <v>0</v>
      </c>
      <c r="AE19" s="829">
        <f t="shared" si="8"/>
        <v>1568</v>
      </c>
      <c r="AF19" s="830">
        <f t="shared" si="8"/>
        <v>0</v>
      </c>
      <c r="AG19" s="831">
        <f t="shared" si="8"/>
        <v>0</v>
      </c>
      <c r="AH19" s="832">
        <f t="shared" si="8"/>
        <v>0</v>
      </c>
      <c r="AI19" s="830">
        <f t="shared" si="8"/>
        <v>0</v>
      </c>
      <c r="AJ19" s="820">
        <f t="shared" si="8"/>
        <v>206</v>
      </c>
      <c r="AK19" s="820">
        <f t="shared" si="8"/>
        <v>459</v>
      </c>
      <c r="AL19" s="820">
        <f t="shared" si="8"/>
        <v>0</v>
      </c>
      <c r="AM19" s="833">
        <f t="shared" si="8"/>
        <v>0</v>
      </c>
      <c r="AN19" s="823">
        <f>IF(ISNUMBER(Datos!K19/Datos!J19),Datos!K19/Datos!J19," - ")</f>
        <v>0.87643979057591626</v>
      </c>
      <c r="AO19" s="823">
        <f>IF(ISNUMBER(FIND("06",Criterios!A8,1)),(IF(ISNUMBER(((Datos!R19/Datos!Q19)*11)/factor_trimestre),((Datos!R19/Datos!Q19)*11)/factor_trimestre," - ")),(IF(ISNUMBER(((Datos!L19/Datos!K19)*11)/factor_trimestre),((Datos!L19/Datos!K19)*11)/factor_trimestre," - ")))</f>
        <v>5.4767025089605745</v>
      </c>
      <c r="AP19" s="834" t="str">
        <f>IF(ISNUMBER(Datos!CI19/Datos!CJ19),Datos!CI19/Datos!CJ19," - ")</f>
        <v xml:space="preserve"> - </v>
      </c>
      <c r="AQ19" s="834">
        <f>IF(OR(ISNUMBER(FIND("01",Criterios!A8,1)),ISNUMBER(FIND("02",Criterios!A8,1)),ISNUMBER(FIND("03",Criterios!A8,1)),ISNUMBER(FIND("04",Criterios!A8,1))),(J19-Y19+K19)/(F19-K19),(I19-Y19+K19)/(F19-K19))</f>
        <v>-0.54054054054054057</v>
      </c>
      <c r="AR19" s="834">
        <f>IF(ISNUMBER((Datos!P19-Datos!Q19+O19)/(Datos!R19-Datos!P19+Datos!Q19-O19)),(Datos!P19-Datos!Q19+O19)/(Datos!R19-Datos!P19+Datos!Q19-O19)," - ")</f>
        <v>6.4184852374839542E-3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315.81059724672531</v>
      </c>
      <c r="G21" s="552">
        <f>IF(ISNUMBER(STDEV(G8:G18)),STDEV(G8:G18),"-")</f>
        <v>302.65211051634844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68.03136531532104</v>
      </c>
      <c r="AK21" s="252"/>
      <c r="AL21" s="252">
        <f>IF(ISNUMBER(STDEV(AL8:AL18)),STDEV(AL8:AL18),"-")</f>
        <v>0</v>
      </c>
      <c r="AM21" s="254">
        <f>IF(ISNUMBER(STDEV(AM8:AM18)),STDEV(AM8:AM18),"-")</f>
        <v>0</v>
      </c>
      <c r="AN21" s="539">
        <f>IF(ISNUMBER(STDEV(AN8:AN18)),STDEV(AN8:AN18),"-")</f>
        <v>0</v>
      </c>
      <c r="AO21" s="540">
        <f>IF(ISNUMBER(STDEV(AO8:AO18)),STDEV(AO8:AO18),"-")</f>
        <v>0.62742346509026092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ccf3RadbyolSDs1PCE8RlX/i0P/0+sOgA+0z0zrGUIQe3tKq6020tG6BVk8fqTdWVW1UngNr1spS4PiXE+yscw==" saltValue="iYpeZ5mzpTjeUZVdAe3wz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ehbXm29/rzlb1zpHMta+lRt7ghVwD+DTa9R4AprSn8mV7LYx9Vlviagrr0bsRfTjwGfMuSwwKyBwxF4zwMHFw==" saltValue="+yYUBlZ5a9WBQ8Afp5Su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tFnDGzMZgQEyKDGWFEHvMgWFJyG6yntjlhSBow3rAymNQiwWRhG6XJr/iBwria3sE2cXviyy0hy/xqkLUi5AQ==" saltValue="6wsgkGwDzV2zORwoGQuWX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HARO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0.27536231884057971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0.19471056293542613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itAnrx4ug2kVDdW9lXGx87wzkW+96AEQYb1GxQPKmfsi+ZZSuIBibUTtqlUg/G3jAQZYSeQNdGLDVOrnQ97onw==" saltValue="BN1AruX0BYkCC+83aJria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LU3wAIH0OkA5RCzPwLZCV0jFb7UFhKvlVLz5SsIq3GlUv5RstTo6xsFlS93+lTKvySyI1ivHADx4ebuoynkykQ==" saltValue="xTn2u2mX9uAcRUdSUdzs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HARO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v>
      </c>
      <c r="F10" s="404">
        <f>IF(ISNUMBER(E10/B10),E10/B10," - ")</f>
        <v>2</v>
      </c>
      <c r="G10" s="403">
        <f>IF(ISNUMBER(Datos!K10),Datos!K10," - ")</f>
        <v>2</v>
      </c>
      <c r="H10" s="404">
        <f>IF(ISNUMBER(G10/B10),G10/B10," - ")</f>
        <v>2</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841</v>
      </c>
      <c r="D12" s="404">
        <f>IF(ISNUMBER(C12/Datos!BH12),C12/Datos!BH12," - ")</f>
        <v>420.5</v>
      </c>
      <c r="E12" s="403">
        <f>IF(ISNUMBER(IF(J_V="SI",Datos!J12,Datos!J12+Datos!Z12)),IF(J_V="SI",Datos!J12,Datos!J12+Datos!Z12)," - ")</f>
        <v>648</v>
      </c>
      <c r="F12" s="404">
        <f>IF(ISNUMBER(E12/B12),E12/B12," - ")</f>
        <v>324</v>
      </c>
      <c r="G12" s="403">
        <f>IF(ISNUMBER(IF(J_V="SI",Datos!K12,Datos!K12+Datos!AA12)),IF(J_V="SI",Datos!K12,Datos!K12+Datos!AA12)," - ")</f>
        <v>550</v>
      </c>
      <c r="H12" s="404">
        <f>IF(ISNUMBER(G12/B12),G12/B12," - ")</f>
        <v>275</v>
      </c>
      <c r="I12" s="403">
        <f>IF(ISNUMBER(IF(J_V="SI",Datos!L12,Datos!L12+Datos!AB12)),IF(J_V="SI",Datos!L12,Datos!L12+Datos!AB12)," - ")</f>
        <v>939</v>
      </c>
      <c r="J12" s="404">
        <f>IF(ISNUMBER(I12/B12),I12/B12," - ")</f>
        <v>469.5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845</v>
      </c>
      <c r="D13" s="850" t="str">
        <f>IF(ISNUMBER(C13/Datos!BI13),C13/Datos!BI13," - ")</f>
        <v xml:space="preserve"> - </v>
      </c>
      <c r="E13" s="849">
        <f>SUBTOTAL(9,E8:E12)</f>
        <v>650</v>
      </c>
      <c r="F13" s="850">
        <f>IF(ISNUMBER(E13/B13),E13/B13," - ")</f>
        <v>325</v>
      </c>
      <c r="G13" s="849">
        <f>SUBTOTAL(9,G8:G12)</f>
        <v>552</v>
      </c>
      <c r="H13" s="850">
        <f>IF(ISNUMBER(G13/B13),G13/B13," - ")</f>
        <v>276</v>
      </c>
      <c r="I13" s="849">
        <f>SUBTOTAL(9,I8:I12)</f>
        <v>943</v>
      </c>
      <c r="J13" s="850">
        <f>IF(ISNUMBER(I13/B13),I13/B13," - ")</f>
        <v>471.5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548</v>
      </c>
      <c r="D16" s="404">
        <f>IF(ISNUMBER(C16/Datos!BH16),C16/Datos!BH16," - ")</f>
        <v>274</v>
      </c>
      <c r="E16" s="403">
        <f>IF(ISNUMBER(IF(D_I="SI",Datos!J16,Datos!J16+Datos!AD16)),IF(D_I="SI",Datos!J16,Datos!J16+Datos!AD16)," - ")</f>
        <v>306</v>
      </c>
      <c r="F16" s="404">
        <f>IF(ISNUMBER(E16/B16),E16/B16," - ")</f>
        <v>153</v>
      </c>
      <c r="G16" s="403">
        <f>IF(ISNUMBER(IF(D_I="SI",Datos!K16,Datos!K16+Datos!AE16)),IF(D_I="SI",Datos!K16,Datos!K16+Datos!AE16)," - ")</f>
        <v>277</v>
      </c>
      <c r="H16" s="404">
        <f>IF(ISNUMBER(G16/B16),G16/B16," - ")</f>
        <v>138.5</v>
      </c>
      <c r="I16" s="403">
        <f>IF(ISNUMBER(IF(D_I="SI",Datos!L16,Datos!L16+Datos!AF16)),IF(D_I="SI",Datos!L16,Datos!L16+Datos!AF16)," - ")</f>
        <v>580</v>
      </c>
      <c r="J16" s="404">
        <f>IF(ISNUMBER(I16/B16),I16/B16," - ")</f>
        <v>290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18</v>
      </c>
      <c r="F17" s="404">
        <f>IF(ISNUMBER(E17/B17),E17/B17," - ")</f>
        <v>18</v>
      </c>
      <c r="G17" s="403">
        <f>IF(ISNUMBER(IF(D_I="SI",Datos!K17,Datos!K17+Datos!AE17)),IF(D_I="SI",Datos!K17,Datos!K17+Datos!AE17)," - ")</f>
        <v>21</v>
      </c>
      <c r="H17" s="404">
        <f>IF(ISNUMBER(G17/B17),G17/B17," - ")</f>
        <v>21</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585</v>
      </c>
      <c r="D18" s="850" t="str">
        <f>IF(ISNUMBER(C18/Datos!BI18),C18/Datos!BI18," - ")</f>
        <v xml:space="preserve"> - </v>
      </c>
      <c r="E18" s="849">
        <f>SUBTOTAL(9,E14:E17)</f>
        <v>324</v>
      </c>
      <c r="F18" s="850">
        <f>IF(ISNUMBER(E18/B18),E18/B18," - ")</f>
        <v>162</v>
      </c>
      <c r="G18" s="849">
        <f>SUBTOTAL(9,G14:G17)</f>
        <v>298</v>
      </c>
      <c r="H18" s="850">
        <f>IF(ISNUMBER(G18/B18),G18/B18," - ")</f>
        <v>149</v>
      </c>
      <c r="I18" s="849">
        <f>SUBTOTAL(9,I14:I17)</f>
        <v>614</v>
      </c>
      <c r="J18" s="850">
        <f>IF(ISNUMBER(I18/B18),I18/B18," - ")</f>
        <v>307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1430</v>
      </c>
      <c r="D19" s="795" t="str">
        <f>IF(ISNUMBER(C19/Datos!BI19),C19/Datos!BI19," - ")</f>
        <v xml:space="preserve"> - </v>
      </c>
      <c r="E19" s="794">
        <f>SUBTOTAL(9,E9:E18)</f>
        <v>974</v>
      </c>
      <c r="F19" s="795">
        <f>IF(ISNUMBER(E19/B19),E19/B19," - ")</f>
        <v>487</v>
      </c>
      <c r="G19" s="794">
        <f>SUBTOTAL(9,G9:G18)</f>
        <v>850</v>
      </c>
      <c r="H19" s="795">
        <f>IF(ISNUMBER(G19/B19),G19/B19," - ")</f>
        <v>425</v>
      </c>
      <c r="I19" s="794">
        <f>SUBTOTAL(9,I9:I18)</f>
        <v>1557</v>
      </c>
      <c r="J19" s="795">
        <f>IF(ISNUMBER(I19/B19),I19/B19," - ")</f>
        <v>778.5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DgILweUcGt+0FN3LVe2l58SapvqAJzlSVmYUTRqXCda5Im5OYRS6g81z6bUWdJLwvNthjxd08df9g2V0qMZVfg==" saltValue="lCUzmM8TZUVvEM4BvJyH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HARO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151</v>
      </c>
      <c r="AM12" s="690">
        <f>IF(ISNUMBER(Datos!N12+DatosP!N16),Datos!N12+DatosP!N16," - ")</f>
        <v>329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5.121818181818182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1.8108651911468814E-2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97</v>
      </c>
      <c r="AE13" s="939">
        <f t="shared" si="1"/>
        <v>0</v>
      </c>
      <c r="AF13" s="939">
        <f t="shared" si="1"/>
        <v>4</v>
      </c>
      <c r="AG13" s="939">
        <f t="shared" si="1"/>
        <v>0</v>
      </c>
      <c r="AH13" s="939">
        <f t="shared" si="1"/>
        <v>1518</v>
      </c>
      <c r="AI13" s="939">
        <f t="shared" si="1"/>
        <v>0</v>
      </c>
      <c r="AJ13" s="939">
        <f t="shared" si="1"/>
        <v>0</v>
      </c>
      <c r="AK13" s="939">
        <f t="shared" si="1"/>
        <v>0</v>
      </c>
      <c r="AL13" s="939">
        <f t="shared" si="1"/>
        <v>152</v>
      </c>
      <c r="AM13" s="939">
        <f t="shared" si="1"/>
        <v>330</v>
      </c>
      <c r="AN13" s="939">
        <f t="shared" si="1"/>
        <v>0</v>
      </c>
      <c r="AO13" s="939">
        <f t="shared" si="1"/>
        <v>0</v>
      </c>
      <c r="AP13" s="944">
        <f>IF(ISNUMBER(((Datos!L13/Datos!K13)*11)/factor_trimestre),((Datos!L13/Datos!K13)*11)/factor_trimestre," - ")</f>
        <v>5.0871985157699449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1.8108651911468814E-2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6.1812080536912752</v>
      </c>
      <c r="AQ18" s="944">
        <f>IF(ISNUMBER(((Datos!M18/Datos!L18)*11)/factor_trimestre),((Datos!M18/Datos!L18)*11)/factor_trimestre," - ")</f>
        <v>0.26384364820846906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-0.27419354838709675</v>
      </c>
      <c r="AW18" s="946">
        <f>IF(ISNUMBER((Datos!Q18-Datos!R18)/(Datos!S18-Datos!Q18+Datos!R18)),(Datos!Q18-Datos!R18)/(Datos!S18-Datos!Q18+Datos!R18)," - ")</f>
        <v>-3.4545454545454546E-2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97</v>
      </c>
      <c r="AE19" s="957">
        <f t="shared" si="5"/>
        <v>0</v>
      </c>
      <c r="AF19" s="958">
        <f t="shared" si="5"/>
        <v>4</v>
      </c>
      <c r="AG19" s="958">
        <f t="shared" si="5"/>
        <v>0</v>
      </c>
      <c r="AH19" s="958">
        <f t="shared" si="5"/>
        <v>1518</v>
      </c>
      <c r="AI19" s="958">
        <f t="shared" si="5"/>
        <v>0</v>
      </c>
      <c r="AJ19" s="959">
        <f t="shared" si="5"/>
        <v>0</v>
      </c>
      <c r="AK19" s="959">
        <f t="shared" si="5"/>
        <v>0</v>
      </c>
      <c r="AL19" s="951">
        <f t="shared" si="5"/>
        <v>152</v>
      </c>
      <c r="AM19" s="951">
        <f t="shared" si="5"/>
        <v>330</v>
      </c>
      <c r="AN19" s="951">
        <f t="shared" si="5"/>
        <v>0</v>
      </c>
      <c r="AO19" s="951">
        <f t="shared" si="5"/>
        <v>0</v>
      </c>
      <c r="AP19" s="951">
        <f>IF(ISNUMBER(((Datos!L19/Datos!K19)*11)/factor_trimestre),((Datos!L19/Datos!K19)*11)/factor_trimestre," - ")</f>
        <v>5.4767025089605745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6.4184852374839542E-3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87.181802382530876</v>
      </c>
      <c r="AM21" s="736"/>
      <c r="AN21" s="736">
        <f>IF(ISNUMBER(STDEV(AN8:AN18)),STDEV(AN8:AN18),"-")</f>
        <v>0</v>
      </c>
      <c r="AO21" s="742">
        <f>IF(ISNUMBER(STDEV(AO8:AO18)),STDEV(AO8:AO18),"-")</f>
        <v>0</v>
      </c>
      <c r="AP21" s="779">
        <f>IF(ISNUMBER(STDEV(AP8:AP18)),STDEV(AP8:AP18),"-")</f>
        <v>0.57428277769519598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qsjIdPPXicaX7VV+cdzIvmPg/a987dstpgL5O2KOv9TfjPVdUah/8I8EkpScUiACWwUeOUcbBZQxybKLJayuRg==" saltValue="JU0l3bEjFkr0ZKXaHp0o2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218</v>
      </c>
      <c r="B3" s="391" t="str">
        <f>Criterios!A10 &amp;"  "&amp;Criterios!B10</f>
        <v>Provincias  LA RIOJA</v>
      </c>
      <c r="C3" s="415"/>
      <c r="F3" s="375"/>
      <c r="G3" s="375"/>
      <c r="H3" s="375"/>
    </row>
    <row r="4" spans="1:15" ht="13.5" thickBot="1">
      <c r="A4" s="375"/>
      <c r="B4" s="391" t="str">
        <f>Criterios!A11 &amp;"  "&amp;Criterios!B11</f>
        <v>Resumenes por Partidos Judiciales  HARO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PdUJ2LoPqQpYxGlOLCgmuPIbqLTkh8Wqt1S/urZeHMBSqT8vpM+YsjRDitifO5+bDiQn4vnpV+acR9Jx3t+iTw==" saltValue="sABDBdWRIvf6/ROK38T4T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HARO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151</v>
      </c>
      <c r="E12" s="404">
        <f t="shared" si="0"/>
        <v>75.5</v>
      </c>
      <c r="F12" s="403">
        <f>IF(ISNUMBER(Datos!N12),Datos!N12," - ")</f>
        <v>329</v>
      </c>
      <c r="G12" s="404">
        <f t="shared" si="1"/>
        <v>164.5</v>
      </c>
      <c r="H12" s="403">
        <f>IF(ISNUMBER(Datos!O12),Datos!O12," - ")</f>
        <v>153</v>
      </c>
      <c r="I12" s="404">
        <f t="shared" si="2"/>
        <v>76.5</v>
      </c>
      <c r="BZ12" s="1186">
        <f>Datos!EZ12</f>
        <v>0</v>
      </c>
    </row>
    <row r="13" spans="1:78" ht="14.25" thickTop="1" thickBot="1">
      <c r="A13" s="848" t="str">
        <f>Datos!A13</f>
        <v>TOTAL</v>
      </c>
      <c r="B13" s="849">
        <f>Datos!AP13</f>
        <v>2</v>
      </c>
      <c r="C13" s="851">
        <f>Datos!AR13</f>
        <v>2</v>
      </c>
      <c r="D13" s="849">
        <f>SUBTOTAL(9,D9:D12)</f>
        <v>152</v>
      </c>
      <c r="E13" s="850">
        <f t="shared" si="0"/>
        <v>76</v>
      </c>
      <c r="F13" s="849">
        <f>SUBTOTAL(9,F9:F12)</f>
        <v>330</v>
      </c>
      <c r="G13" s="850">
        <f t="shared" si="1"/>
        <v>165</v>
      </c>
      <c r="H13" s="849">
        <f>SUBTOTAL(9,H9:H12)</f>
        <v>153</v>
      </c>
      <c r="I13" s="850">
        <f>IF(ISNUMBER(H13/B13),H13/B13," - ")</f>
        <v>76.5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51</v>
      </c>
      <c r="E16" s="404">
        <f t="shared" si="3"/>
        <v>25.5</v>
      </c>
      <c r="F16" s="403">
        <f>IF(ISNUMBER(Datos!N16),Datos!N16," - ")</f>
        <v>115</v>
      </c>
      <c r="G16" s="404">
        <f t="shared" si="4"/>
        <v>57.5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54</v>
      </c>
      <c r="E18" s="850">
        <f t="shared" si="3"/>
        <v>27</v>
      </c>
      <c r="F18" s="849">
        <f>SUBTOTAL(9,F15:F17)</f>
        <v>129</v>
      </c>
      <c r="G18" s="850">
        <f t="shared" si="4"/>
        <v>64.5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206</v>
      </c>
      <c r="E19" s="795">
        <f>IF(ISNUMBER(D19/B19),D19/B19," - ")</f>
        <v>103</v>
      </c>
      <c r="F19" s="794">
        <f>SUBTOTAL(9,F8:F18)</f>
        <v>459</v>
      </c>
      <c r="G19" s="795">
        <f>IF(ISNUMBER(F19/B19),F19/B19," - ")</f>
        <v>229.5</v>
      </c>
      <c r="H19" s="794">
        <f>SUBTOTAL(9,H8:H18)</f>
        <v>154</v>
      </c>
      <c r="I19" s="795">
        <f>IF(ISNUMBER(H19/B19),H19/B19," - ")</f>
        <v>77</v>
      </c>
    </row>
    <row r="22" spans="1:78">
      <c r="A22" s="391" t="str">
        <f>Criterios!A4</f>
        <v>Fecha Informe: 04 jun. 2025</v>
      </c>
    </row>
    <row r="27" spans="1:78">
      <c r="A27" s="414"/>
    </row>
  </sheetData>
  <sheetProtection algorithmName="SHA-512" hashValue="oTbA6BqrdBSj0LLLrs4X8lehIehOf+DWUjLVNrNSvnZqGmVl9tiTT56k72YyyHcGyFgTupZPm6EFzFItkCTWWQ==" saltValue="JrgQINjOTBiLofrCY8E22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HARO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124</v>
      </c>
      <c r="C12" s="434">
        <f>IF(ISNUMBER(Datos!Q12),Datos!Q12," - ")</f>
        <v>97</v>
      </c>
      <c r="D12" s="408">
        <f>IF(ISNUMBER(Datos!R12),Datos!R12," - ")</f>
        <v>1518</v>
      </c>
    </row>
    <row r="13" spans="1:4" ht="14.25" thickTop="1" thickBot="1">
      <c r="A13" s="848" t="str">
        <f>Datos!A13</f>
        <v>TOTAL</v>
      </c>
      <c r="B13" s="849">
        <f>SUBTOTAL(9,B9:B12)</f>
        <v>124</v>
      </c>
      <c r="C13" s="853">
        <f>SUBTOTAL(9,C9:C12)</f>
        <v>97</v>
      </c>
      <c r="D13" s="851">
        <f>SUBTOTAL(9,D9:D12)</f>
        <v>1523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26</v>
      </c>
      <c r="D16" s="408">
        <f>IF(ISNUMBER(Datos!R16),Datos!R16," - ")</f>
        <v>45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26</v>
      </c>
      <c r="D18" s="851">
        <f>SUBTOTAL(9,D15:D17)</f>
        <v>45</v>
      </c>
    </row>
    <row r="19" spans="1:4" ht="16.5" customHeight="1" thickTop="1" thickBot="1">
      <c r="A19" s="793" t="str">
        <f>Datos!A19</f>
        <v>TOTAL JURISDICCIONES</v>
      </c>
      <c r="B19" s="798">
        <f>SUBTOTAL(9,B8:B18)</f>
        <v>133</v>
      </c>
      <c r="C19" s="799">
        <f>SUBTOTAL(9,C8:C18)</f>
        <v>123</v>
      </c>
      <c r="D19" s="800">
        <f>SUBTOTAL(9,D8:D18)</f>
        <v>1568</v>
      </c>
    </row>
    <row r="20" spans="1:4" ht="7.5" customHeight="1"/>
    <row r="21" spans="1:4" ht="6" customHeight="1"/>
    <row r="22" spans="1:4">
      <c r="A22" s="391" t="str">
        <f>Criterios!A4</f>
        <v>Fecha Informe: 04 jun. 2025</v>
      </c>
    </row>
    <row r="27" spans="1:4">
      <c r="A27" s="414"/>
    </row>
  </sheetData>
  <sheetProtection algorithmName="SHA-512" hashValue="o8ZQxX34aAO9Pl4I1DK+i34BIR1RqnS/EKUT9BLyhXXmmFGgjNMcmfGmMCTm8IHTzyXgT5JIMwD4Dt5HbgtdDQ==" saltValue="HAXZi+Q4eQ6SKEjazi3q1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HARO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-0.25772285966460723</v>
      </c>
      <c r="C12" s="456">
        <f>IF(ISNUMBER(
   IF(J_V="SI",(Datos!J12-Datos!T12)/Datos!T12,(Datos!J12+Datos!Z12-(Datos!T12+Datos!AH12))/(Datos!T12+Datos!AH12))
     ),IF(J_V="SI",(Datos!J12-Datos!T12)/Datos!T12,(Datos!J12+Datos!Z12-(Datos!T12+Datos!AH12))/(Datos!T12+Datos!AH12))," - ")</f>
        <v>0.452914798206278</v>
      </c>
      <c r="D12" s="456">
        <f>IF(ISNUMBER(
   IF(J_V="SI",(Datos!K12-Datos!U12)/Datos!U12,(Datos!K12+Datos!AA12-(Datos!U12+Datos!AI12))/(Datos!U12+Datos!AI12))
     ),IF(J_V="SI",(Datos!K12-Datos!U12)/Datos!U12,(Datos!K12+Datos!AA12-(Datos!U12+Datos!AI12))/(Datos!U12+Datos!AI12))," - ")</f>
        <v>0.42118863049095606</v>
      </c>
      <c r="E12" s="456">
        <f>IF(ISNUMBER(
   IF(J_V="SI",(Datos!L12-Datos!V12)/Datos!V12,(Datos!L12+Datos!AB12-(Datos!V12+Datos!AJ12))/(Datos!V12+Datos!AJ12))
     ),IF(J_V="SI",(Datos!L12-Datos!V12)/Datos!V12,(Datos!L12+Datos!AB12-(Datos!V12+Datos!AJ12))/(Datos!V12+Datos!AJ12))," - ")</f>
        <v>-0.21224832214765102</v>
      </c>
      <c r="F12" s="456">
        <f>IF(ISNUMBER((Datos!M12-Datos!W12)/Datos!W12),(Datos!M12-Datos!W12)/Datos!W12," - ")</f>
        <v>0.57291666666666663</v>
      </c>
      <c r="G12" s="457">
        <f>IF(ISNUMBER((Datos!N12-Datos!X12)/Datos!X12),(Datos!N12-Datos!X12)/Datos!X12," - ")</f>
        <v>1.9115044247787611</v>
      </c>
      <c r="H12" s="455">
        <f>IF(ISNUMBER(((NºAsuntos!G12/NºAsuntos!E12)-Datos!BD12)/Datos!BD12),((NºAsuntos!G12/NºAsuntos!E12)-Datos!BD12)/Datos!BD12," - ")</f>
        <v>-2.1836220371965372E-2</v>
      </c>
      <c r="I12" s="456">
        <f>IF(ISNUMBER(((NºAsuntos!I12/NºAsuntos!G12)-Datos!BE12)/Datos!BE12),((NºAsuntos!I12/NºAsuntos!G12)-Datos!BE12)/Datos!BE12," - ")</f>
        <v>-0.44570927394752896</v>
      </c>
      <c r="J12" s="461">
        <f>IF(ISNUMBER((('Resol  Asuntos'!D12/NºAsuntos!G12)-Datos!BF12)/Datos!BF12),(('Resol  Asuntos'!D12/NºAsuntos!G12)-Datos!BF12)/Datos!BF12," - ")</f>
        <v>-5.9742558326629155E-2</v>
      </c>
      <c r="K12" s="462">
        <f>IF(ISNUMBER((((NºAsuntos!C12+NºAsuntos!E12)/NºAsuntos!G12)-Datos!BG12)/Datos!BG12),(((NºAsuntos!C12+NºAsuntos!E12)/NºAsuntos!G12)-Datos!BG12)/Datos!BG12," - ")</f>
        <v>-0.33646957222638046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-0.25419240953221534</v>
      </c>
      <c r="C13" s="855">
        <f>IF(ISNUMBER(
   IF(J_V="SI",(Datos!J13-Datos!T13)/Datos!T13,(Datos!J13+Datos!Z13-(Datos!T13+Datos!AH13))/(Datos!T13+Datos!AH13))
     ),IF(J_V="SI",(Datos!J13-Datos!T13)/Datos!T13,(Datos!J13+Datos!Z13-(Datos!T13+Datos!AH13))/(Datos!T13+Datos!AH13))," - ")</f>
        <v>0.45739910313901344</v>
      </c>
      <c r="D13" s="855">
        <f>IF(ISNUMBER(
   IF(J_V="SI",(Datos!K13-Datos!U13)/Datos!U13,(Datos!K13+Datos!AA13-(Datos!U13+Datos!AI13))/(Datos!U13+Datos!AI13))
     ),IF(J_V="SI",(Datos!K13-Datos!U13)/Datos!U13,(Datos!K13+Datos!AA13-(Datos!U13+Datos!AI13))/(Datos!U13+Datos!AI13))," - ")</f>
        <v>0.4263565891472868</v>
      </c>
      <c r="E13" s="855">
        <f>IF(ISNUMBER(
   IF(J_V="SI",(Datos!L13-Datos!V13)/Datos!V13,(Datos!L13+Datos!AB13-(Datos!V13+Datos!AJ13))/(Datos!V13+Datos!AJ13))
     ),IF(J_V="SI",(Datos!L13-Datos!V13)/Datos!V13,(Datos!L13+Datos!AB13-(Datos!V13+Datos!AJ13))/(Datos!V13+Datos!AJ13))," - ")</f>
        <v>-0.20889261744966442</v>
      </c>
      <c r="F13" s="856">
        <f>IF(ISNUMBER((Datos!M13-Datos!W13)/Datos!W13),(Datos!M13-Datos!W13)/Datos!W13," - ")</f>
        <v>0.58333333333333337</v>
      </c>
      <c r="G13" s="857">
        <f>IF(ISNUMBER((Datos!N13-Datos!X13)/Datos!X13),(Datos!N13-Datos!X13)/Datos!X13," - ")</f>
        <v>1.9203539823008851</v>
      </c>
      <c r="H13" s="857">
        <f>IF(ISNUMBER(((NºAsuntos!G13/NºAsuntos!E13)-Datos!BD13)/Datos!BD13),((NºAsuntos!G13/NºAsuntos!E13)-Datos!BD13)/Datos!BD13," - ")</f>
        <v>-2.1299940369707754E-2</v>
      </c>
      <c r="I13" s="857">
        <f>IF(ISNUMBER(((NºAsuntos!I13/NºAsuntos!G13)-Datos!BE13)/Datos!BE13),((NºAsuntos!I13/NºAsuntos!G13)-Datos!BE13)/Datos!BE13," - ")</f>
        <v>-0.44536493288590606</v>
      </c>
      <c r="J13" s="857">
        <f>IF(ISNUMBER((('Resol  Asuntos'!D13/NºAsuntos!G13)-Datos!BF13)/Datos!BF13),(('Resol  Asuntos'!D13/NºAsuntos!G13)-Datos!BF13)/Datos!BF13," - ")</f>
        <v>-5.6944978838014616E-2</v>
      </c>
      <c r="K13" s="857">
        <f>IF(ISNUMBER((((NºAsuntos!C13+NºAsuntos!E13)/NºAsuntos!G13)-Datos!BG13)/Datos!BG13),(((NºAsuntos!C13+NºAsuntos!E13)/NºAsuntos!G13)-Datos!BG13)/Datos!BG13," - ")</f>
        <v>-0.33620962634578849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0.13457556935817805</v>
      </c>
      <c r="C16" s="456">
        <f>IF(ISNUMBER(
   IF(D_I="SI",(Datos!J16-Datos!T16)/Datos!T16,(Datos!J16+Datos!AD16-(Datos!T16+Datos!AL16))/(Datos!T16+Datos!AL16))
     ),IF(D_I="SI",(Datos!J16-Datos!T16)/Datos!T16,(Datos!J16+Datos!AD16-(Datos!T16+Datos!AL16))/(Datos!T16+Datos!AL16))," - ")</f>
        <v>0.33624454148471616</v>
      </c>
      <c r="D16" s="456">
        <f>IF(ISNUMBER(
   IF(D_I="SI",(Datos!K16-Datos!U16)/Datos!U16,(Datos!K16+Datos!AE16-(Datos!U16+Datos!AM16))/(Datos!U16+Datos!AM16))
     ),IF(D_I="SI",(Datos!K16-Datos!U16)/Datos!U16,(Datos!K16+Datos!AE16-(Datos!U16+Datos!AM16))/(Datos!U16+Datos!AM16))," - ")</f>
        <v>0.14937759336099585</v>
      </c>
      <c r="E16" s="456">
        <f>IF(ISNUMBER(
   IF(D_I="SI",(Datos!L16-Datos!V16)/Datos!V16,(Datos!L16+Datos!AF16-(Datos!V16+Datos!AN16))/(Datos!V16+Datos!AN16))
     ),IF(D_I="SI",(Datos!L16-Datos!V16)/Datos!V16,(Datos!L16+Datos!AF16-(Datos!V16+Datos!AN16))/(Datos!V16+Datos!AN16))," - ")</f>
        <v>0.21593291404612158</v>
      </c>
      <c r="F16" s="456">
        <f>IF(ISNUMBER((Datos!M16-Datos!W16)/Datos!W16),(Datos!M16-Datos!W16)/Datos!W16," - ")</f>
        <v>0.30769230769230771</v>
      </c>
      <c r="G16" s="457">
        <f>IF(ISNUMBER((Datos!N16-Datos!X16)/Datos!X16),(Datos!N16-Datos!X16)/Datos!X16," - ")</f>
        <v>0.29213483146067415</v>
      </c>
      <c r="H16" s="455">
        <f>IF(ISNUMBER(((NºAsuntos!G16/NºAsuntos!E16)-Datos!BD16)/Datos!BD16),((NºAsuntos!G16/NºAsuntos!E16)-Datos!BD16)/Datos!BD16," - ")</f>
        <v>-0.13984487294226119</v>
      </c>
      <c r="I16" s="456">
        <f>IF(ISNUMBER(((NºAsuntos!I16/NºAsuntos!G16)-Datos!BE16)/Datos!BE16),((NºAsuntos!I16/NºAsuntos!G16)-Datos!BE16)/Datos!BE16," - ")</f>
        <v>5.7905531715217666E-2</v>
      </c>
      <c r="J16" s="461">
        <f>IF(ISNUMBER((('Resol  Asuntos'!D16/NºAsuntos!G16)-Datos!BF16)/Datos!BF16),(('Resol  Asuntos'!D16/NºAsuntos!G16)-Datos!BF16)/Datos!BF16," - ")</f>
        <v>0.13773951680088864</v>
      </c>
      <c r="K16" s="462">
        <f>IF(ISNUMBER((((NºAsuntos!C16+NºAsuntos!E16)/NºAsuntos!G16)-Datos!BG16)/Datos!BG16),(((NºAsuntos!C16+NºAsuntos!E16)/NºAsuntos!G16)-Datos!BG16)/Datos!BG16," - ")</f>
        <v>4.3554536973187737E-2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-0.22916666666666666</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0.61538461538461542</v>
      </c>
      <c r="E17" s="456">
        <f>IF(ISNUMBER(
   IF(D_I="SI",(Datos!L17-Datos!V17)/Datos!V17,(Datos!L17+Datos!AF17-(Datos!V17+Datos!AN17))/(Datos!V17+Datos!AN17))
     ),IF(D_I="SI",(Datos!L17-Datos!V17)/Datos!V17,(Datos!L17+Datos!AF17-(Datos!V17+Datos!AN17))/(Datos!V17+Datos!AN17))," - ")</f>
        <v>-0.33333333333333331</v>
      </c>
      <c r="F17" s="456">
        <f>IF(ISNUMBER((Datos!M17-Datos!W17)/Datos!W17),(Datos!M17-Datos!W17)/Datos!W17," - ")</f>
        <v>2</v>
      </c>
      <c r="G17" s="457">
        <f>IF(ISNUMBER((Datos!N17-Datos!X17)/Datos!X17),(Datos!N17-Datos!X17)/Datos!X17," - ")</f>
        <v>7.6923076923076927E-2</v>
      </c>
      <c r="H17" s="455">
        <f>IF(ISNUMBER(((NºAsuntos!G17/NºAsuntos!E17)-Datos!BD17)/Datos!BD17),((NºAsuntos!G17/NºAsuntos!E17)-Datos!BD17)/Datos!BD17," - ")</f>
        <v>0.43589743589743601</v>
      </c>
      <c r="I17" s="456">
        <f>IF(ISNUMBER(((NºAsuntos!I17/NºAsuntos!G17)-Datos!BE17)/Datos!BE17),((NºAsuntos!I17/NºAsuntos!G17)-Datos!BE17)/Datos!BE17," - ")</f>
        <v>-0.58730158730158732</v>
      </c>
      <c r="J17" s="461">
        <f>IF(ISNUMBER((('Resol  Asuntos'!D17/NºAsuntos!G17)-Datos!BF17)/Datos!BF17),(('Resol  Asuntos'!D17/NºAsuntos!G17)-Datos!BF17)/Datos!BF17," - ")</f>
        <v>0.85714285714285698</v>
      </c>
      <c r="K17" s="462">
        <f>IF(ISNUMBER((((NºAsuntos!C17+NºAsuntos!E17)/NºAsuntos!G17)-Datos!BG17)/Datos!BG17),(((NºAsuntos!C17+NºAsuntos!E17)/NºAsuntos!G17)-Datos!BG17)/Datos!BG17," - ")</f>
        <v>-0.46800595238095238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0.10169491525423729</v>
      </c>
      <c r="C18" s="855">
        <f>IF(ISNUMBER(
   IF(Criterios!B14="SI",(Datos!J18-Datos!T18)/Datos!T18,(Datos!J18+Datos!AD18-(Datos!T18+Datos!AL18))/(Datos!T18+Datos!AL18))
     ),IF(Criterios!B14="SI",(Datos!J18-Datos!T18)/Datos!T18,(Datos!J18+Datos!AD18-(Datos!T18+Datos!AL18))/(Datos!T18+Datos!AL18))," - ")</f>
        <v>0.32244897959183672</v>
      </c>
      <c r="D18" s="855">
        <f>IF(ISNUMBER(
   IF(Criterios!B14="SI",(Datos!K18-Datos!U18)/Datos!U18,(Datos!K18+Datos!AE18-(Datos!U18+Datos!AM18))/(Datos!U18+Datos!AM18))
     ),IF(Criterios!B14="SI",(Datos!K18-Datos!U18)/Datos!U18,(Datos!K18+Datos!AE18-(Datos!U18+Datos!AM18))/(Datos!U18+Datos!AM18))," - ")</f>
        <v>0.17322834645669291</v>
      </c>
      <c r="E18" s="855">
        <f>IF(ISNUMBER(
   IF(Criterios!B14="SI",(Datos!L18-Datos!V18)/Datos!V18,(Datos!L18+Datos!AF18-(Datos!V18+Datos!AN18))/(Datos!V18+Datos!AN18))
     ),IF(Criterios!B14="SI",(Datos!L18-Datos!V18)/Datos!V18,(Datos!L18+Datos!AF18-(Datos!V18+Datos!AN18))/(Datos!V18+Datos!AN18))," - ")</f>
        <v>0.16287878787878787</v>
      </c>
      <c r="F18" s="856">
        <f>IF(ISNUMBER((Datos!M18-Datos!W18)/Datos!W18),(Datos!M18-Datos!W18)/Datos!W18," - ")</f>
        <v>0.35</v>
      </c>
      <c r="G18" s="857">
        <f>IF(ISNUMBER((Datos!N18-Datos!X18)/Datos!X18),(Datos!N18-Datos!X18)/Datos!X18," - ")</f>
        <v>0.26470588235294118</v>
      </c>
      <c r="H18" s="857">
        <f>IF(ISNUMBER(((NºAsuntos!G18/NºAsuntos!E18)-Datos!BD18)/Datos!BD18),((NºAsuntos!G18/NºAsuntos!E18)-Datos!BD18)/Datos!BD18," - ")</f>
        <v>-0.11283658987071063</v>
      </c>
      <c r="I18" s="857">
        <f>IF(ISNUMBER(((NºAsuntos!I18/NºAsuntos!G18)-Datos!BE18)/Datos!BE18),((NºAsuntos!I18/NºAsuntos!G18)-Datos!BE18)/Datos!BE18," - ")</f>
        <v>-8.8214358348585754E-3</v>
      </c>
      <c r="J18" s="857">
        <f>IF(ISNUMBER((('Resol  Asuntos'!D18/NºAsuntos!G18)-Datos!BF18)/Datos!BF18),(('Resol  Asuntos'!D18/NºAsuntos!G18)-Datos!BF18)/Datos!BF18," - ")</f>
        <v>0.15067114093959727</v>
      </c>
      <c r="K18" s="857">
        <f>IF(ISNUMBER((((NºAsuntos!C18+NºAsuntos!E18)/NºAsuntos!G18)-Datos!BG18)/Datos!BG18),(((NºAsuntos!C18+NºAsuntos!E18)/NºAsuntos!G18)-Datos!BG18)/Datos!BG18," - ")</f>
        <v>-1.5654189441638513E-3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-0.140625</v>
      </c>
      <c r="C19" s="802">
        <f>IF(ISNUMBER(
   IF(J_V="SI",(Datos!J19-Datos!T19)/Datos!T19,(Datos!J19+Datos!Z19-(Datos!T19+Datos!AH19))/(Datos!T19+Datos!AH19))
     ),IF(J_V="SI",(Datos!J19-Datos!T19)/Datos!T19,(Datos!J19+Datos!Z19-(Datos!T19+Datos!AH19))/(Datos!T19+Datos!AH19))," - ")</f>
        <v>0.40955137481910275</v>
      </c>
      <c r="D19" s="802">
        <f>IF(ISNUMBER(
   IF(J_V="SI",(Datos!K19-Datos!U19)/Datos!U19,(Datos!K19+Datos!AA19-(Datos!U19+Datos!AI19))/(Datos!U19+Datos!AI19))
     ),IF(J_V="SI",(Datos!K19-Datos!U19)/Datos!U19,(Datos!K19+Datos!AA19-(Datos!U19+Datos!AI19))/(Datos!U19+Datos!AI19))," - ")</f>
        <v>0.32605304212168484</v>
      </c>
      <c r="E19" s="802">
        <f>IF(ISNUMBER(
   IF(J_V="SI",(Datos!L19-Datos!V19)/Datos!V19,(Datos!L19+Datos!AB19-(Datos!V19+Datos!AJ19))/(Datos!V19+Datos!AJ19))
     ),IF(J_V="SI",(Datos!L19-Datos!V19)/Datos!V19,(Datos!L19+Datos!AB19-(Datos!V19+Datos!AJ19))/(Datos!V19+Datos!AJ19))," - ")</f>
        <v>-9.476744186046511E-2</v>
      </c>
      <c r="F19" s="803">
        <f>IF(ISNUMBER((Datos!M19-Datos!W19)/Datos!W19),(Datos!M19-Datos!W19)/Datos!W19," - ")</f>
        <v>0.51470588235294112</v>
      </c>
      <c r="G19" s="804">
        <f>IF(ISNUMBER((Datos!N19-Datos!X19)/Datos!X19),(Datos!N19-Datos!X19)/Datos!X19," - ")</f>
        <v>1.1348837209302325</v>
      </c>
      <c r="H19" s="805">
        <f>IF(ISNUMBER((Tasas!B19-Datos!BD19)/Datos!BD19),(Tasas!B19-Datos!BD19)/Datos!BD19," - ")</f>
        <v>-5.9237523505046984E-2</v>
      </c>
      <c r="I19" s="806">
        <f>IF(ISNUMBER((Tasas!C19-Datos!BE19)/Datos!BE19),(Tasas!C19-Datos!BE19)/Datos!BE19," - ")</f>
        <v>-0.31734815321477428</v>
      </c>
      <c r="J19" s="807">
        <f>IF(ISNUMBER((Tasas!D19-Datos!BF19)/Datos!BF19),(Tasas!D19-Datos!BF19)/Datos!BF19," - ")</f>
        <v>1.5347943098808096E-2</v>
      </c>
      <c r="K19" s="807">
        <f>IF(ISNUMBER((Tasas!E19-Datos!BG19)/Datos!BG19),(Tasas!E19-Datos!BG19)/Datos!BG19," - ")</f>
        <v>-0.2301915823654303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niD7KfAj26HsWp95d6vlUOFzjMUOb3sJQi1CKcdgWhAKVYNxRIOsZkuTO1YiCnPuzjdiTk93+/NSnxNpXaZAg==" saltValue="XLLnOR1WgMrUWueeL9aW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HARO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0.5</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0.84876543209876543</v>
      </c>
      <c r="C12" s="443">
        <f>IF(ISNUMBER(NºAsuntos!I12/NºAsuntos!G12),NºAsuntos!I12/NºAsuntos!G12," - ")</f>
        <v>1.7072727272727273</v>
      </c>
      <c r="D12" s="444">
        <f>IF(ISNUMBER('Resol  Asuntos'!D12/NºAsuntos!G12),'Resol  Asuntos'!D12/NºAsuntos!G12," - ")</f>
        <v>0.27454545454545454</v>
      </c>
      <c r="E12" s="445">
        <f>IF(ISNUMBER((NºAsuntos!C12+NºAsuntos!E12)/NºAsuntos!G12),(NºAsuntos!C12+NºAsuntos!E12)/NºAsuntos!G12," - ")</f>
        <v>2.7072727272727271</v>
      </c>
      <c r="G12" s="463"/>
    </row>
    <row r="13" spans="1:7" ht="14.25" thickTop="1" thickBot="1">
      <c r="A13" s="848" t="str">
        <f>Datos!A13</f>
        <v>TOTAL</v>
      </c>
      <c r="B13" s="858">
        <f>IF(ISNUMBER(NºAsuntos!G13/NºAsuntos!E13),NºAsuntos!G13/NºAsuntos!E13," - ")</f>
        <v>0.84923076923076923</v>
      </c>
      <c r="C13" s="859">
        <f>IF(ISNUMBER(NºAsuntos!I13/NºAsuntos!G13),NºAsuntos!I13/NºAsuntos!G13," - ")</f>
        <v>1.7083333333333333</v>
      </c>
      <c r="D13" s="860">
        <f>IF(ISNUMBER('Resol  Asuntos'!D13/NºAsuntos!G13),'Resol  Asuntos'!D13/NºAsuntos!G13," - ")</f>
        <v>0.27536231884057971</v>
      </c>
      <c r="E13" s="861">
        <f>IF(ISNUMBER((NºAsuntos!C13+NºAsuntos!E13)/NºAsuntos!G13),(NºAsuntos!C13+NºAsuntos!E13)/NºAsuntos!G13," - ")</f>
        <v>2.7083333333333335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0.90522875816993464</v>
      </c>
      <c r="C16" s="443">
        <f>IF(ISNUMBER(NºAsuntos!I16/NºAsuntos!G16),NºAsuntos!I16/NºAsuntos!G16," - ")</f>
        <v>2.0938628158844765</v>
      </c>
      <c r="D16" s="444">
        <f>IF(ISNUMBER('Resol  Asuntos'!D16/NºAsuntos!G16),'Resol  Asuntos'!D16/NºAsuntos!G16," - ")</f>
        <v>0.18411552346570398</v>
      </c>
      <c r="E16" s="445">
        <f>IF(ISNUMBER((NºAsuntos!C16+NºAsuntos!E16)/NºAsuntos!G16),(NºAsuntos!C16+NºAsuntos!E16)/NºAsuntos!G16," - ")</f>
        <v>3.0830324909747291</v>
      </c>
      <c r="G16" s="463"/>
    </row>
    <row r="17" spans="1:7" ht="13.5" thickBot="1">
      <c r="A17" s="402" t="str">
        <f>Datos!A17</f>
        <v>Jdos. Violencia contra la mujer</v>
      </c>
      <c r="B17" s="442">
        <f>IF(ISNUMBER(NºAsuntos!G17/NºAsuntos!E17),NºAsuntos!G17/NºAsuntos!E17," - ")</f>
        <v>1.1666666666666667</v>
      </c>
      <c r="C17" s="443">
        <f>IF(ISNUMBER(NºAsuntos!I17/NºAsuntos!G17),NºAsuntos!I17/NºAsuntos!G17," - ")</f>
        <v>1.6190476190476191</v>
      </c>
      <c r="D17" s="444">
        <f>IF(ISNUMBER('Resol  Asuntos'!D17/NºAsuntos!G17),'Resol  Asuntos'!D17/NºAsuntos!G17," - ")</f>
        <v>0.14285714285714285</v>
      </c>
      <c r="E17" s="445">
        <f>IF(ISNUMBER((NºAsuntos!C17+NºAsuntos!E17)/NºAsuntos!G17),(NºAsuntos!C17+NºAsuntos!E17)/NºAsuntos!G17," - ")</f>
        <v>2.6190476190476191</v>
      </c>
      <c r="G17" s="463"/>
    </row>
    <row r="18" spans="1:7" ht="14.25" thickTop="1" thickBot="1">
      <c r="A18" s="848" t="str">
        <f>Datos!A18</f>
        <v>TOTAL</v>
      </c>
      <c r="B18" s="858">
        <f>IF(ISNUMBER(NºAsuntos!G18/NºAsuntos!E18),NºAsuntos!G18/NºAsuntos!E18," - ")</f>
        <v>0.91975308641975306</v>
      </c>
      <c r="C18" s="859">
        <f>IF(ISNUMBER(NºAsuntos!I18/NºAsuntos!G18),NºAsuntos!I18/NºAsuntos!G18," - ")</f>
        <v>2.0604026845637584</v>
      </c>
      <c r="D18" s="862">
        <f>IF(ISNUMBER('Resol  Asuntos'!D18/NºAsuntos!G18),'Resol  Asuntos'!D18/NºAsuntos!G18," - ")</f>
        <v>0.18120805369127516</v>
      </c>
      <c r="E18" s="861">
        <f>IF(ISNUMBER((NºAsuntos!C18+NºAsuntos!E18)/NºAsuntos!G18),(NºAsuntos!C18+NºAsuntos!E18)/NºAsuntos!G18," - ")</f>
        <v>3.0503355704697985</v>
      </c>
      <c r="G18" s="463"/>
    </row>
    <row r="19" spans="1:7" ht="15.75" customHeight="1" thickTop="1" thickBot="1">
      <c r="A19" s="793" t="str">
        <f>Datos!A19</f>
        <v>TOTAL JURISDICCIONES</v>
      </c>
      <c r="B19" s="808">
        <f>IF(ISNUMBER(NºAsuntos!G19/NºAsuntos!E19),NºAsuntos!G19/NºAsuntos!E19," - ")</f>
        <v>0.87268993839835729</v>
      </c>
      <c r="C19" s="809">
        <f>IF(ISNUMBER(NºAsuntos!I19/NºAsuntos!G19),NºAsuntos!I19/NºAsuntos!G19," - ")</f>
        <v>1.831764705882353</v>
      </c>
      <c r="D19" s="810">
        <f>IF(ISNUMBER('Resol  Asuntos'!D19/NºAsuntos!G19),'Resol  Asuntos'!D19/NºAsuntos!G19," - ")</f>
        <v>0.24235294117647058</v>
      </c>
      <c r="E19" s="811">
        <f>IF(ISNUMBER((NºAsuntos!C19+NºAsuntos!E19)/NºAsuntos!G19),(NºAsuntos!C19+NºAsuntos!E19)/NºAsuntos!G19," - ")</f>
        <v>2.828235294117647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YRlmMGtVB6Zr3/AsFDSskqqnbW2q6wy5yy7KvsAChDSvnTP4XjCsMgkmhznleYmDTXACyT29qSZzhOW4PthUQ==" saltValue="/b/J1RgTmDykooxufLbN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HARO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4</v>
      </c>
      <c r="AB10" s="334">
        <f>IF(ISNUMBER(Datos!R10),Datos!R10," - ")</f>
        <v>5</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v>
      </c>
      <c r="AN10" s="244">
        <f>IF(ISNUMBER('Resol  Asuntos'!D10/NºAsuntos!G10),'Resol  Asuntos'!D10/NºAsuntos!G10," - ")</f>
        <v>0.5</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97</v>
      </c>
      <c r="Y12" s="334">
        <f t="shared" si="0"/>
        <v>97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151</v>
      </c>
      <c r="AJ12" s="229" t="str">
        <f>IF(ISNUMBER(Datos!BW12),Datos!BW12," - ")</f>
        <v xml:space="preserve"> - </v>
      </c>
      <c r="AK12" s="228" t="str">
        <f>IF(ISNUMBER(Datos!BX12),Datos!BX12," - ")</f>
        <v xml:space="preserve"> - </v>
      </c>
      <c r="AL12" s="243">
        <f>IF(ISNUMBER(NºAsuntos!G12/NºAsuntos!E12),NºAsuntos!G12/NºAsuntos!E12," - ")</f>
        <v>0.84876543209876543</v>
      </c>
      <c r="AM12" s="260">
        <f>IF(ISNUMBER(((NºAsuntos!I12/NºAsuntos!G12)*11)/factor_trimestre),((NºAsuntos!I12/NºAsuntos!G12)*11)/factor_trimestre," - ")</f>
        <v>5.121818181818182</v>
      </c>
      <c r="AN12" s="244">
        <f>IF(ISNUMBER('Resol  Asuntos'!D12/NºAsuntos!G12),'Resol  Asuntos'!D12/NºAsuntos!G12," - ")</f>
        <v>0.27454545454545454</v>
      </c>
      <c r="AO12" s="245">
        <f>IF(ISNUMBER((NºAsuntos!C12+NºAsuntos!E12)/NºAsuntos!G12),(NºAsuntos!C12+NºAsuntos!E12)/NºAsuntos!G12," - ")</f>
        <v>2.7072727272727271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124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97</v>
      </c>
      <c r="Y13" s="868">
        <f t="shared" si="4"/>
        <v>99</v>
      </c>
      <c r="Z13" s="868">
        <f t="shared" si="4"/>
        <v>0</v>
      </c>
      <c r="AA13" s="868">
        <f t="shared" si="4"/>
        <v>4</v>
      </c>
      <c r="AB13" s="868">
        <f t="shared" si="4"/>
        <v>1523</v>
      </c>
      <c r="AC13" s="868">
        <f t="shared" si="4"/>
        <v>9</v>
      </c>
      <c r="AD13" s="868">
        <f t="shared" si="4"/>
        <v>0</v>
      </c>
      <c r="AE13" s="872">
        <f t="shared" si="4"/>
        <v>0</v>
      </c>
      <c r="AF13" s="865">
        <f t="shared" si="4"/>
        <v>0</v>
      </c>
      <c r="AG13" s="873">
        <f t="shared" si="4"/>
        <v>0</v>
      </c>
      <c r="AH13" s="870">
        <f t="shared" si="4"/>
        <v>0</v>
      </c>
      <c r="AI13" s="865">
        <f t="shared" si="4"/>
        <v>152</v>
      </c>
      <c r="AJ13" s="867">
        <f t="shared" si="4"/>
        <v>0</v>
      </c>
      <c r="AK13" s="870">
        <f>SUBTOTAL(9,AK9:AK12)</f>
        <v>0</v>
      </c>
      <c r="AL13" s="874">
        <f>IF(ISNUMBER(NºAsuntos!G13/NºAsuntos!E13),NºAsuntos!G13/NºAsuntos!E13," - ")</f>
        <v>0.84923076923076923</v>
      </c>
      <c r="AM13" s="874">
        <f>IF(ISNUMBER(((NºAsuntos!I13/NºAsuntos!G13)*11)/factor_trimestre),((NºAsuntos!I13/NºAsuntos!G13)*11)/factor_trimestre," - ")</f>
        <v>5.125</v>
      </c>
      <c r="AN13" s="875">
        <f>IF(ISNUMBER('Resol  Asuntos'!D13/NºAsuntos!G13),'Resol  Asuntos'!D13/NºAsuntos!G13," - ")</f>
        <v>0.27536231884057971</v>
      </c>
      <c r="AO13" s="876">
        <f>IF(ISNUMBER((NºAsuntos!C13+NºAsuntos!E13)/NºAsuntos!G13),(NºAsuntos!C13+NºAsuntos!E13)/NºAsuntos!G13," - ")</f>
        <v>2.7083333333333335</v>
      </c>
      <c r="AP13" s="877" t="str">
        <f t="shared" si="2"/>
        <v xml:space="preserve"> - </v>
      </c>
      <c r="AQ13" s="877">
        <f>IF(ISNUMBER((H13-W13+K13)/(F13)),(H13-W13+K13)/(F13)," - ")</f>
        <v>-0.5</v>
      </c>
      <c r="AR13" s="878">
        <f>IF(ISNUMBER((Datos!P13-Datos!Q13)/(Datos!R13-Datos!P13+Datos!Q13)),(Datos!P13-Datos!Q13)/(Datos!R13-Datos!P13+Datos!Q13)," - ")</f>
        <v>1.8048128342245989E-2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551</v>
      </c>
      <c r="G16" s="333">
        <f>IF(ISNUMBER(IF(D_I="SI",Datos!I16,Datos!I16+Datos!AC16)),IF(D_I="SI",Datos!I16,Datos!I16+Datos!AC16)," - ")</f>
        <v>548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277</v>
      </c>
      <c r="X16" s="226">
        <f>IF(ISNUMBER(Datos!Q16),Datos!Q16," - ")</f>
        <v>26</v>
      </c>
      <c r="Y16" s="334">
        <f t="shared" ref="Y16:Y17" si="7">SUM(W16:X16)</f>
        <v>303</v>
      </c>
      <c r="Z16" s="335" t="str">
        <f>IF(ISNUMBER(Datos!CC16),Datos!CC16," - ")</f>
        <v xml:space="preserve"> - </v>
      </c>
      <c r="AA16" s="332">
        <f>IF(ISNUMBER(IF(D_I="SI",Datos!L16,Datos!L16+Datos!AF16)),IF(D_I="SI",Datos!L16,Datos!L16+Datos!AF16)," - ")</f>
        <v>580</v>
      </c>
      <c r="AB16" s="334">
        <f>IF(ISNUMBER(Datos!R16),Datos!R16," - ")</f>
        <v>45</v>
      </c>
      <c r="AC16" s="334">
        <f t="shared" si="6"/>
        <v>625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0.90522875816993464</v>
      </c>
      <c r="AM16" s="260">
        <f>IF(ISNUMBER(((NºAsuntos!I16/NºAsuntos!G16)*11)/factor_trimestre),((NºAsuntos!I16/NºAsuntos!G16)*11)/factor_trimestre," - ")</f>
        <v>6.2815884476534301</v>
      </c>
      <c r="AN16" s="244">
        <f>IF(ISNUMBER('Resol  Asuntos'!D16/NºAsuntos!G16),'Resol  Asuntos'!D16/NºAsuntos!G16," - ")</f>
        <v>0.18411552346570398</v>
      </c>
      <c r="AO16" s="245">
        <f>IF(ISNUMBER((NºAsuntos!C16+NºAsuntos!E16)/NºAsuntos!G16),(NºAsuntos!C16+NºAsuntos!E16)/NºAsuntos!G16," - ")</f>
        <v>3.0830324909747291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34</v>
      </c>
      <c r="AB17" s="334">
        <f>IF(ISNUMBER(Datos!R17),Datos!R17," - ")</f>
        <v>0</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1.1666666666666667</v>
      </c>
      <c r="AM17" s="260">
        <f>IF(ISNUMBER(((NºAsuntos!I17/NºAsuntos!G17)*11)/factor_trimestre),((NºAsuntos!I17/NºAsuntos!G17)*11)/factor_trimestre," - ")</f>
        <v>4.8571428571428577</v>
      </c>
      <c r="AN17" s="244">
        <f>IF(ISNUMBER('Resol  Asuntos'!D17/NºAsuntos!G17),'Resol  Asuntos'!D17/NºAsuntos!G17," - ")</f>
        <v>0.14285714285714285</v>
      </c>
      <c r="AO17" s="245">
        <f>IF(ISNUMBER((NºAsuntos!C17+NºAsuntos!E17)/NºAsuntos!G17),(NºAsuntos!C17+NºAsuntos!E17)/NºAsuntos!G17," - ")</f>
        <v>2.6190476190476191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551</v>
      </c>
      <c r="G18" s="866">
        <f>SUBTOTAL(9,G15:G17)</f>
        <v>585</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298</v>
      </c>
      <c r="X18" s="867">
        <f t="shared" si="11"/>
        <v>26</v>
      </c>
      <c r="Y18" s="868">
        <f t="shared" si="11"/>
        <v>324</v>
      </c>
      <c r="Z18" s="868">
        <f t="shared" si="11"/>
        <v>0</v>
      </c>
      <c r="AA18" s="868">
        <f t="shared" si="11"/>
        <v>614</v>
      </c>
      <c r="AB18" s="868">
        <f t="shared" si="11"/>
        <v>45</v>
      </c>
      <c r="AC18" s="868">
        <f t="shared" si="11"/>
        <v>659</v>
      </c>
      <c r="AD18" s="868">
        <f t="shared" si="11"/>
        <v>0</v>
      </c>
      <c r="AE18" s="872">
        <f t="shared" si="11"/>
        <v>0</v>
      </c>
      <c r="AF18" s="865">
        <f t="shared" si="11"/>
        <v>0</v>
      </c>
      <c r="AG18" s="873">
        <f t="shared" si="11"/>
        <v>0</v>
      </c>
      <c r="AH18" s="870">
        <f t="shared" si="11"/>
        <v>0</v>
      </c>
      <c r="AI18" s="865">
        <f t="shared" si="11"/>
        <v>54</v>
      </c>
      <c r="AJ18" s="867">
        <f t="shared" si="11"/>
        <v>0</v>
      </c>
      <c r="AK18" s="870">
        <f t="shared" si="11"/>
        <v>0</v>
      </c>
      <c r="AL18" s="874">
        <f>IF(ISNUMBER(NºAsuntos!G18/NºAsuntos!E18),NºAsuntos!G18/NºAsuntos!E18," - ")</f>
        <v>0.91975308641975306</v>
      </c>
      <c r="AM18" s="874">
        <f>IF(ISNUMBER(((NºAsuntos!I18/NºAsuntos!G18)*11)/factor_trimestre),((NºAsuntos!I18/NºAsuntos!G18)*11)/factor_trimestre," - ")</f>
        <v>6.1812080536912752</v>
      </c>
      <c r="AN18" s="875">
        <f>IF(ISNUMBER('Resol  Asuntos'!D18/NºAsuntos!G18),'Resol  Asuntos'!D18/NºAsuntos!G18," - ")</f>
        <v>0.18120805369127516</v>
      </c>
      <c r="AO18" s="876">
        <f>IF(ISNUMBER((NºAsuntos!C18+NºAsuntos!E18)/NºAsuntos!G18),(NºAsuntos!C18+NºAsuntos!E18)/NºAsuntos!G18," - ")</f>
        <v>3.0503355704697985</v>
      </c>
      <c r="AP18" s="877" t="str">
        <f t="shared" si="2"/>
        <v xml:space="preserve"> - </v>
      </c>
      <c r="AQ18" s="877">
        <f>IF(ISNUMBER((H18-W18+K18)/(F18)),(H18-W18+K18)/(F18)," - ")</f>
        <v>-0.54083484573502727</v>
      </c>
      <c r="AR18" s="878">
        <f>IF(ISNUMBER((Datos!P18-Datos!Q18)/(Datos!R18-Datos!P18+Datos!Q18)),(Datos!P18-Datos!Q18)/(Datos!R18-Datos!P18+Datos!Q18)," - ")</f>
        <v>-0.27419354838709675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555</v>
      </c>
      <c r="G19" s="821">
        <f t="shared" si="13"/>
        <v>589</v>
      </c>
      <c r="H19" s="820">
        <f t="shared" si="13"/>
        <v>0</v>
      </c>
      <c r="I19" s="822">
        <f t="shared" si="13"/>
        <v>0</v>
      </c>
      <c r="J19" s="822">
        <f t="shared" si="13"/>
        <v>0</v>
      </c>
      <c r="K19" s="881">
        <f t="shared" si="13"/>
        <v>0</v>
      </c>
      <c r="L19" s="822">
        <f t="shared" si="13"/>
        <v>133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300</v>
      </c>
      <c r="X19" s="821">
        <f t="shared" si="14"/>
        <v>123</v>
      </c>
      <c r="Y19" s="828">
        <f t="shared" si="14"/>
        <v>423</v>
      </c>
      <c r="Z19" s="828">
        <f t="shared" si="14"/>
        <v>0</v>
      </c>
      <c r="AA19" s="828">
        <f t="shared" si="14"/>
        <v>618</v>
      </c>
      <c r="AB19" s="828">
        <f t="shared" si="14"/>
        <v>1568</v>
      </c>
      <c r="AC19" s="828">
        <f t="shared" si="14"/>
        <v>668</v>
      </c>
      <c r="AD19" s="828">
        <f t="shared" si="14"/>
        <v>0</v>
      </c>
      <c r="AE19" s="830">
        <f t="shared" si="14"/>
        <v>0</v>
      </c>
      <c r="AF19" s="831">
        <f t="shared" si="14"/>
        <v>0</v>
      </c>
      <c r="AG19" s="832">
        <f t="shared" si="14"/>
        <v>0</v>
      </c>
      <c r="AH19" s="830">
        <f t="shared" si="14"/>
        <v>0</v>
      </c>
      <c r="AI19" s="820">
        <f t="shared" si="14"/>
        <v>206</v>
      </c>
      <c r="AJ19" s="820">
        <f t="shared" si="14"/>
        <v>0</v>
      </c>
      <c r="AK19" s="830">
        <f t="shared" si="14"/>
        <v>0</v>
      </c>
      <c r="AL19" s="884">
        <f>IF(ISNUMBER(NºAsuntos!G19/NºAsuntos!E19),NºAsuntos!G19/NºAsuntos!E19," - ")</f>
        <v>0.87268993839835729</v>
      </c>
      <c r="AM19" s="885">
        <f>IF(ISNUMBER(((NºAsuntos!I19/NºAsuntos!G19)*11)/factor_trimestre),((NºAsuntos!I19/NºAsuntos!G19)*11)/factor_trimestre," - ")</f>
        <v>5.4952941176470587</v>
      </c>
      <c r="AN19" s="885">
        <f>IF(ISNUMBER('Resol  Asuntos'!D19/NºAsuntos!G19),'Resol  Asuntos'!D19/NºAsuntos!G19," - ")</f>
        <v>0.24235294117647058</v>
      </c>
      <c r="AO19" s="886">
        <f>IF(ISNUMBER((NºAsuntos!C19+NºAsuntos!E19)/NºAsuntos!G19),(NºAsuntos!C19+NºAsuntos!E19)/NºAsuntos!G19," - ")</f>
        <v>2.828235294117647</v>
      </c>
      <c r="AP19" s="887" t="str">
        <f t="shared" si="2"/>
        <v xml:space="preserve"> - </v>
      </c>
      <c r="AQ19" s="888">
        <f>IF(OR(ISNUMBER(FIND("01",Criterios!A8,1)),ISNUMBER(FIND("02",Criterios!A8,1)),ISNUMBER(FIND("03",Criterios!A8,1)),ISNUMBER(FIND("04",Criterios!A8,1))),(I19-W19+K19)/(F19-K19),(H19-W19+K19)/(F19-K19))</f>
        <v>-0.54054054054054057</v>
      </c>
      <c r="AR19" s="889">
        <f>IF(ISNUMBER((Datos!P19-Datos!Q19)/(Datos!R19-Datos!P19+Datos!Q19)),(Datos!P19-Datos!Q19)/(Datos!R19-Datos!P19+Datos!Q19)," - ")</f>
        <v>6.4184852374839542E-3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315.81059724672531</v>
      </c>
      <c r="G21" s="253">
        <f>IF(ISNUMBER(STDEV(G8:G18)),STDEV(G8:G18),"-")</f>
        <v>302.65211051634844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153.28241908320732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68.03136531532104</v>
      </c>
      <c r="AJ21" s="252">
        <f t="shared" si="18"/>
        <v>0</v>
      </c>
      <c r="AK21" s="254">
        <f t="shared" si="18"/>
        <v>0</v>
      </c>
      <c r="AL21" s="249">
        <f t="shared" si="18"/>
        <v>0.12062237597752389</v>
      </c>
      <c r="AM21" s="250">
        <f t="shared" si="18"/>
        <v>0.62742346509026092</v>
      </c>
      <c r="AN21" s="250">
        <f t="shared" si="18"/>
        <v>0.12941100082561732</v>
      </c>
      <c r="AO21" s="251">
        <f t="shared" si="18"/>
        <v>0.20491307630010261</v>
      </c>
      <c r="AP21" s="291" t="str">
        <f t="shared" si="18"/>
        <v>-</v>
      </c>
      <c r="AQ21" s="292">
        <f t="shared" si="18"/>
        <v>2.8874596327944351E-2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fj3nJirPSAgqJYsmAnvq6l2u8bPrWFJqblGWUtTqX8vjnAo7dBStMybFQyyynDxf9XIgjPydejp7cVC3+85UZA==" saltValue="0GSwCL5NSyYTkEbAYY9DX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HARO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0.57291666666666663</v>
      </c>
      <c r="I12" s="350">
        <f>IF(ISNUMBER((Tasas!C12-Datos!BE12)/Datos!BE12),(Tasas!C12-Datos!BE12)/Datos!BE12," - ")</f>
        <v>-0.44570927394752896</v>
      </c>
      <c r="J12" s="349">
        <f>IF(ISNUMBER((Tasas!D12-Datos!BF12)/Datos!BF12),(Tasas!D12-Datos!BF12)/Datos!BF12," - ")</f>
        <v>-5.9742558326629155E-2</v>
      </c>
      <c r="K12" s="351">
        <f>IF(ISNUMBER((Tasas!E12-Datos!BG12)/Datos!BG12),(Tasas!E12-Datos!BG12)/Datos!BG12," - ")</f>
        <v>-0.33646957222638046</v>
      </c>
      <c r="M12" t="e">
        <f>IF(Monitorios="SI",Datos!CE12,0)</f>
        <v>#REF!</v>
      </c>
      <c r="N12" t="e">
        <f>IF(Monitorios="SI",Datos!CF12,0)</f>
        <v>#REF!</v>
      </c>
      <c r="O12" t="e">
        <f>IF(Monitorios="SI",Datos!CG12,0)</f>
        <v>#REF!</v>
      </c>
      <c r="P12" t="e">
        <f>IF(Monitorios="SI",Datos!CH12,0)</f>
        <v>#REF!</v>
      </c>
      <c r="Q12">
        <f>IF(J_V="SI",0,Datos!AG12)</f>
        <v>25</v>
      </c>
      <c r="R12">
        <f>IF(J_V="SI",0,Datos!AH12)</f>
        <v>39</v>
      </c>
      <c r="S12">
        <f>IF(J_V="SI",0,Datos!AI12)</f>
        <v>33</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0.58333333333333337</v>
      </c>
      <c r="I13" s="357">
        <f>IF(ISNUMBER((Tasas!C13-Datos!BE13)/Datos!BE13),(Tasas!C13-Datos!BE13)/Datos!BE13," - ")</f>
        <v>-0.44536493288590606</v>
      </c>
      <c r="J13" s="355">
        <f>IF(ISNUMBER((Tasas!D13-Datos!BF13)/Datos!BF13),(Tasas!D13-Datos!BF13)/Datos!BF13," - ")</f>
        <v>-5.6944978838014616E-2</v>
      </c>
      <c r="K13" s="358">
        <f>IF(ISNUMBER((Tasas!E13-Datos!BG13)/Datos!BG13),(Tasas!E13-Datos!BG13)/Datos!BG13," - ")</f>
        <v>-0.33620962634578849</v>
      </c>
      <c r="M13" t="e">
        <f>IF(Monitorios="SI",Datos!CE13,0)</f>
        <v>#REF!</v>
      </c>
      <c r="N13" t="e">
        <f>IF(Monitorios="SI",Datos!CF13,0)</f>
        <v>#REF!</v>
      </c>
      <c r="O13" t="e">
        <f>IF(Monitorios="SI",Datos!CG13,0)</f>
        <v>#REF!</v>
      </c>
      <c r="P13" t="e">
        <f>IF(Monitorios="SI",Datos!CH13,0)</f>
        <v>#REF!</v>
      </c>
      <c r="Q13">
        <f>IF(J_V="SI",0,Datos!AG13)</f>
        <v>25</v>
      </c>
      <c r="R13">
        <f>IF(J_V="SI",0,Datos!AH13)</f>
        <v>39</v>
      </c>
      <c r="S13">
        <f>IF(J_V="SI",0,Datos!AI13)</f>
        <v>33</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0.13457556935817805</v>
      </c>
      <c r="E16" s="348">
        <f>IF(ISNUMBER(
   IF(D_I="SI",(Datos!J16-Datos!T16)/Datos!T16,(Datos!J16+Datos!AD16-(Datos!T16+Datos!AL16))/(Datos!T16+Datos!AL16))
     ),IF(D_I="SI",(Datos!J16-Datos!T16)/Datos!T16,(Datos!J16+Datos!AD16-(Datos!T16+Datos!AL16))/(Datos!T16+Datos!AL16))," - ")</f>
        <v>0.33624454148471616</v>
      </c>
      <c r="F16" s="348">
        <f>IF(ISNUMBER(
   IF(D_I="SI",(Datos!K16-Datos!U16)/Datos!U16,(Datos!K16+Datos!AE16-(Datos!U16+Datos!AM16))/(Datos!U16+Datos!AM16))
     ),IF(D_I="SI",(Datos!K16-Datos!U16)/Datos!U16,(Datos!K16+Datos!AE16-(Datos!U16+Datos!AM16))/(Datos!U16+Datos!AM16))," - ")</f>
        <v>0.14937759336099585</v>
      </c>
      <c r="G16" s="349">
        <f>IF(ISNUMBER(
   IF(D_I="SI",(Datos!L16-Datos!V16)/Datos!V16,(Datos!L16+Datos!AF16-(Datos!V16+Datos!AN16))/(Datos!V16+Datos!AN16))
     ),IF(D_I="SI",(Datos!L16-Datos!V16)/Datos!V16,(Datos!L16+Datos!AF16-(Datos!V16+Datos!AN16))/(Datos!V16+Datos!AN16))," - ")</f>
        <v>0.21593291404612158</v>
      </c>
      <c r="H16" s="230">
        <f>IF(ISNUMBER((Datos!M16-Datos!W16)/Datos!W16),(Datos!M16-Datos!W16)/Datos!W16," - ")</f>
        <v>0.30769230769230771</v>
      </c>
      <c r="I16" s="350">
        <f>IF(ISNUMBER((Tasas!C16-Datos!BE16)/Datos!BE16),(Tasas!C16-Datos!BE16)/Datos!BE16," - ")</f>
        <v>5.7905531715217666E-2</v>
      </c>
      <c r="J16" s="349">
        <f>IF(ISNUMBER((Tasas!D16-Datos!BF16)/Datos!BF16),(Tasas!D16-Datos!BF16)/Datos!BF16," - ")</f>
        <v>0.13773951680088864</v>
      </c>
      <c r="K16" s="351">
        <f>IF(ISNUMBER((Tasas!E16-Datos!BG16)/Datos!BG16),(Tasas!E16-Datos!BG16)/Datos!BG16," - ")</f>
        <v>4.3554536973187737E-2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-0.22916666666666666</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0.61538461538461542</v>
      </c>
      <c r="G17" s="349">
        <f>IF(ISNUMBER(
   IF(D_I="SI",(Datos!L17-Datos!V17)/Datos!V17,(Datos!L17+Datos!AF17-(Datos!V17+Datos!AN17))/(Datos!V17+Datos!AN17))
     ),IF(D_I="SI",(Datos!L17-Datos!V17)/Datos!V17,(Datos!L17+Datos!AF17-(Datos!V17+Datos!AN17))/(Datos!V17+Datos!AN17))," - ")</f>
        <v>-0.33333333333333331</v>
      </c>
      <c r="H17" s="230">
        <f>IF(ISNUMBER((Datos!M17-Datos!W17)/Datos!W17),(Datos!M17-Datos!W17)/Datos!W17," - ")</f>
        <v>2</v>
      </c>
      <c r="I17" s="350">
        <f>IF(ISNUMBER((Tasas!C17-Datos!BE17)/Datos!BE17),(Tasas!C17-Datos!BE17)/Datos!BE17," - ")</f>
        <v>-0.58730158730158732</v>
      </c>
      <c r="J17" s="349">
        <f>IF(ISNUMBER((Tasas!D17-Datos!BF17)/Datos!BF17),(Tasas!D17-Datos!BF17)/Datos!BF17," - ")</f>
        <v>0.85714285714285698</v>
      </c>
      <c r="K17" s="351">
        <f>IF(ISNUMBER((Tasas!E17-Datos!BG17)/Datos!BG17),(Tasas!E17-Datos!BG17)/Datos!BG17," - ")</f>
        <v>-0.46800595238095238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0.10169491525423729</v>
      </c>
      <c r="E18" s="354">
        <f>IF(ISNUMBER(
   IF(D_I="SI",(Datos!J18-Datos!T18)/Datos!T18,(Datos!J18+Datos!AD18-(Datos!T18+Datos!AL18))/(Datos!T18+Datos!AL18))
     ),IF(D_I="SI",(Datos!J18-Datos!T18)/Datos!T18,(Datos!J18+Datos!AD18-(Datos!T18+Datos!AL18))/(Datos!T18+Datos!AL18))," - ")</f>
        <v>0.32244897959183672</v>
      </c>
      <c r="F18" s="354">
        <f>IF(ISNUMBER(
   IF(D_I="SI",(Datos!K18-Datos!U18)/Datos!U18,(Datos!K18+Datos!AE18-(Datos!U18+Datos!AM18))/(Datos!U18+Datos!AM18))
     ),IF(D_I="SI",(Datos!K18-Datos!U18)/Datos!U18,(Datos!K18+Datos!AE18-(Datos!U18+Datos!AM18))/(Datos!U18+Datos!AM18))," - ")</f>
        <v>0.17322834645669291</v>
      </c>
      <c r="G18" s="355">
        <f>IF(ISNUMBER(
   IF(D_I="SI",(Datos!L18-Datos!V18)/Datos!V18,(Datos!L18+Datos!AF18-(Datos!V18+Datos!AN18))/(Datos!V18+Datos!AN18))
     ),IF(D_I="SI",(Datos!L18-Datos!V18)/Datos!V18,(Datos!L18+Datos!AF18-(Datos!V18+Datos!AN18))/(Datos!V18+Datos!AN18))," - ")</f>
        <v>0.16287878787878787</v>
      </c>
      <c r="H18" s="356">
        <f>IF(ISNUMBER((Datos!M18-Datos!W18)/Datos!W18),(Datos!M18-Datos!W18)/Datos!W18," - ")</f>
        <v>0.35</v>
      </c>
      <c r="I18" s="357">
        <f>IF(ISNUMBER((Tasas!C18-Datos!BE18)/Datos!BE18),(Tasas!C18-Datos!BE18)/Datos!BE18," - ")</f>
        <v>-8.8214358348585754E-3</v>
      </c>
      <c r="J18" s="355">
        <f>IF(ISNUMBER((Tasas!D18-Datos!BF18)/Datos!BF18),(Tasas!D18-Datos!BF18)/Datos!BF18," - ")</f>
        <v>0.15067114093959727</v>
      </c>
      <c r="K18" s="358">
        <f>IF(ISNUMBER((Tasas!E18-Datos!BG18)/Datos!BG18),(Tasas!E18-Datos!BG18)/Datos!BG18," - ")</f>
        <v>-1.5654189441638513E-3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-0.140625</v>
      </c>
      <c r="E19" s="363">
        <f>IF(ISNUMBER(
   IF(J_V="SI",(Datos!J19-Datos!T19)/Datos!T19,(Datos!J19+Datos!Z19-(Datos!T19+Datos!AH19))/(Datos!T19+Datos!AH19))
     ),IF(J_V="SI",(Datos!J19-Datos!T19)/Datos!T19,(Datos!J19+Datos!Z19-(Datos!T19+Datos!AH19))/(Datos!T19+Datos!AH19))," - ")</f>
        <v>0.40955137481910275</v>
      </c>
      <c r="F19" s="363">
        <f>IF(ISNUMBER(
   IF(J_V="SI",(Datos!K19-Datos!U19)/Datos!U19,(Datos!K19+Datos!AA19-(Datos!U19+Datos!AI19))/(Datos!U19+Datos!AI19))
     ),IF(J_V="SI",(Datos!K19-Datos!U19)/Datos!U19,(Datos!K19+Datos!AA19-(Datos!U19+Datos!AI19))/(Datos!U19+Datos!AI19))," - ")</f>
        <v>0.32605304212168484</v>
      </c>
      <c r="G19" s="364">
        <f>IF(ISNUMBER(
   IF(J_V="SI",(Datos!L19-Datos!V19)/Datos!V19,(Datos!L19+Datos!AB19-(Datos!V19+Datos!AJ19))/(Datos!V19+Datos!AJ19))
     ),IF(J_V="SI",(Datos!L19-Datos!V19)/Datos!V19,(Datos!L19+Datos!AB19-(Datos!V19+Datos!AJ19))/(Datos!V19+Datos!AJ19))," - ")</f>
        <v>-9.476744186046511E-2</v>
      </c>
      <c r="H19" s="365">
        <f>IF(ISNUMBER((Datos!M19-Datos!W19)/Datos!W19),(Datos!M19-Datos!W19)/Datos!W19," - ")</f>
        <v>0.51470588235294112</v>
      </c>
      <c r="I19" s="362">
        <f>IF(ISNUMBER((Tasas!C19-Datos!BE19)/Datos!BE19),(Tasas!C19-Datos!BE19)/Datos!BE19," - ")</f>
        <v>-0.31734815321477428</v>
      </c>
      <c r="J19" s="363">
        <f>IF(ISNUMBER((Tasas!D19-Datos!BF19)/Datos!BF19),(Tasas!D19-Datos!BF19)/Datos!BF19," - ")</f>
        <v>1.5347943098808096E-2</v>
      </c>
      <c r="K19" s="364">
        <f>IF(ISNUMBER((Tasas!E19-Datos!BG19)/Datos!BG19),(Tasas!E19-Datos!BG19)/Datos!BG19," - ")</f>
        <v>-0.2301915823654303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0.20118769763327141</v>
      </c>
      <c r="E21" s="278">
        <f t="shared" si="1"/>
        <v>0.11818112749566924</v>
      </c>
      <c r="F21" s="278">
        <f t="shared" si="1"/>
        <v>0.26243525206255336</v>
      </c>
      <c r="G21" s="279">
        <f t="shared" si="1"/>
        <v>0.30296716545183594</v>
      </c>
      <c r="H21" s="285">
        <f t="shared" si="1"/>
        <v>0.70293219012472574</v>
      </c>
      <c r="I21" s="277">
        <f t="shared" si="1"/>
        <v>0.29016622450232549</v>
      </c>
      <c r="J21" s="278">
        <f t="shared" si="1"/>
        <v>0.37797708548947251</v>
      </c>
      <c r="K21" s="279">
        <f t="shared" si="1"/>
        <v>0.2267989809393828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NupI3jxWN4LOTede6MQ+qZebFiXjfSQixvtw4LG38AP3GsCVeWRVBNOwvajJxixjAjqXFDFnkpg4JpVr1J9gQ==" saltValue="TWS8X05hN0dz4jfEeR2yB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